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bc3060\users$\james.abbott\TO BE DELETED\"/>
    </mc:Choice>
  </mc:AlternateContent>
  <bookViews>
    <workbookView xWindow="0" yWindow="0" windowWidth="21600" windowHeight="8460" tabRatio="806"/>
  </bookViews>
  <sheets>
    <sheet name="1. All Data" sheetId="1" r:id="rId1"/>
    <sheet name="Q1 Summary" sheetId="9" state="hidden" r:id="rId2"/>
    <sheet name="Q2 Summary" sheetId="20" state="hidden" r:id="rId3"/>
    <sheet name="Q3 Summary" sheetId="21" state="hidden" r:id="rId4"/>
    <sheet name="Q4 Summary" sheetId="22" r:id="rId5"/>
    <sheet name="2a. % By Priority" sheetId="5" r:id="rId6"/>
    <sheet name="2b. Charts by Priority" sheetId="6" r:id="rId7"/>
    <sheet name="3a. % by Portfolio" sheetId="7" r:id="rId8"/>
    <sheet name="3b. Charts by Portfolio" sheetId="8" r:id="rId9"/>
    <sheet name="4. Status Tracking" sheetId="10" state="hidden" r:id="rId10"/>
    <sheet name="Custom Pivot" sheetId="17" r:id="rId11"/>
  </sheets>
  <definedNames>
    <definedName name="_xlnm._FilterDatabase" localSheetId="0" hidden="1">'1. All Data'!$A$2:$AJ$136</definedName>
    <definedName name="_Toc382250483" localSheetId="0">'1. All Data'!$B$77</definedName>
    <definedName name="OLE_LINK3" localSheetId="0">'1. All Data'!$D$40</definedName>
    <definedName name="_xlnm.Print_Area" localSheetId="0">'1. All Data'!$A$1:$AB$134</definedName>
    <definedName name="_xlnm.Print_Area" localSheetId="5">'2a. % By Priority'!$A$1:$G$125</definedName>
    <definedName name="_xlnm.Print_Area" localSheetId="6">'2b. Charts by Priority'!$A$1:$AS$99</definedName>
    <definedName name="_xlnm.Print_Area" localSheetId="7">'3a. % by Portfolio'!$A$1:$G$108</definedName>
    <definedName name="_xlnm.Print_Area" localSheetId="8">'3b. Charts by Portfolio'!$A$1:$AT$99</definedName>
    <definedName name="_xlnm.Print_Area" localSheetId="1">'Q1 Summary'!$A$1:$H$17</definedName>
    <definedName name="_xlnm.Print_Area" localSheetId="2">'Q2 Summary'!$A$1:$H$17</definedName>
    <definedName name="_xlnm.Print_Area" localSheetId="3">'Q3 Summary'!$A$1:$H$19</definedName>
    <definedName name="_xlnm.Print_Area" localSheetId="4">'Q4 Summary'!$A$1:$H$18</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 i="5" l="1"/>
  <c r="X122" i="5"/>
  <c r="X121" i="5"/>
  <c r="X120" i="5"/>
  <c r="X119" i="5"/>
  <c r="X118" i="5"/>
  <c r="X117" i="5"/>
  <c r="X116" i="5"/>
  <c r="X115" i="5"/>
  <c r="X114" i="5"/>
  <c r="X113" i="5"/>
  <c r="Q113" i="5"/>
  <c r="X33" i="5"/>
  <c r="X31" i="5"/>
  <c r="X30" i="5"/>
  <c r="X29" i="5"/>
  <c r="X28" i="5"/>
  <c r="X27" i="5"/>
  <c r="X26" i="5"/>
  <c r="X25" i="5"/>
  <c r="X24" i="5"/>
  <c r="X23" i="5"/>
  <c r="E12" i="22" l="1"/>
  <c r="C12" i="22"/>
  <c r="G12" i="22"/>
  <c r="Q15" i="5"/>
  <c r="Q14" i="5"/>
  <c r="Q13" i="5"/>
  <c r="Q12" i="5"/>
  <c r="Q5" i="5"/>
  <c r="Q123" i="5" l="1"/>
  <c r="Q122" i="5"/>
  <c r="Q121" i="5"/>
  <c r="Q120" i="5"/>
  <c r="Q119" i="5"/>
  <c r="Q118" i="5"/>
  <c r="Q115" i="5"/>
  <c r="E12" i="21" s="1"/>
  <c r="Q114" i="5"/>
  <c r="G12" i="21" l="1"/>
  <c r="Q124" i="5"/>
  <c r="R119" i="5" s="1"/>
  <c r="C12" i="21"/>
  <c r="Q60" i="5"/>
  <c r="Q33" i="5"/>
  <c r="Q32" i="5"/>
  <c r="Q31" i="5"/>
  <c r="Q30" i="5"/>
  <c r="Q29" i="5"/>
  <c r="Q28" i="5"/>
  <c r="Q25" i="5"/>
  <c r="Q24" i="5"/>
  <c r="Q23" i="5"/>
  <c r="R114" i="5" l="1"/>
  <c r="Q125" i="5"/>
  <c r="T113" i="5" s="1"/>
  <c r="R115" i="5"/>
  <c r="S115" i="5" s="1"/>
  <c r="R122" i="5"/>
  <c r="S122" i="5" s="1"/>
  <c r="R113" i="5"/>
  <c r="R121" i="5"/>
  <c r="S121" i="5" s="1"/>
  <c r="R123" i="5"/>
  <c r="S123" i="5" s="1"/>
  <c r="R120" i="5"/>
  <c r="S120" i="5" s="1"/>
  <c r="R118" i="5"/>
  <c r="S118" i="5" s="1"/>
  <c r="J33" i="5"/>
  <c r="J32" i="5"/>
  <c r="J31" i="5"/>
  <c r="J30" i="5"/>
  <c r="J29" i="5"/>
  <c r="J28" i="5"/>
  <c r="J25" i="5"/>
  <c r="J24" i="5"/>
  <c r="J23" i="5"/>
  <c r="S113" i="5" l="1"/>
  <c r="T119" i="5"/>
  <c r="T118" i="5"/>
  <c r="T114" i="5"/>
  <c r="U113" i="5" s="1"/>
  <c r="D12" i="21" s="1"/>
  <c r="T115" i="5"/>
  <c r="U115" i="5" s="1"/>
  <c r="F12" i="21" s="1"/>
  <c r="C60" i="7"/>
  <c r="U118" i="5" l="1"/>
  <c r="H12" i="21" s="1"/>
  <c r="X106" i="7"/>
  <c r="X105" i="7"/>
  <c r="X104" i="7"/>
  <c r="X103" i="7"/>
  <c r="X102" i="7"/>
  <c r="X101" i="7"/>
  <c r="X100" i="7"/>
  <c r="X99" i="7"/>
  <c r="X98" i="7"/>
  <c r="X97" i="7"/>
  <c r="X96" i="7"/>
  <c r="Q106" i="7"/>
  <c r="Q105" i="7"/>
  <c r="Q104" i="7"/>
  <c r="Q103" i="7"/>
  <c r="Q102" i="7"/>
  <c r="Q101" i="7"/>
  <c r="Q98" i="7"/>
  <c r="E19" i="21" s="1"/>
  <c r="Q97" i="7"/>
  <c r="Q96" i="7"/>
  <c r="J106" i="7"/>
  <c r="J105" i="7"/>
  <c r="J104" i="7"/>
  <c r="J103" i="7"/>
  <c r="J102" i="7"/>
  <c r="J101" i="7"/>
  <c r="J98" i="7"/>
  <c r="E18" i="20" s="1"/>
  <c r="J97" i="7"/>
  <c r="J96" i="7"/>
  <c r="X88" i="7"/>
  <c r="X87" i="7"/>
  <c r="X86" i="7"/>
  <c r="X85" i="7"/>
  <c r="X84" i="7"/>
  <c r="X83" i="7"/>
  <c r="X82" i="7"/>
  <c r="X81" i="7"/>
  <c r="X80" i="7"/>
  <c r="X79" i="7"/>
  <c r="X78" i="7"/>
  <c r="Q88" i="7"/>
  <c r="Q87" i="7"/>
  <c r="Q86" i="7"/>
  <c r="Q85" i="7"/>
  <c r="Q84" i="7"/>
  <c r="Q83" i="7"/>
  <c r="Q80" i="7"/>
  <c r="E18" i="21" s="1"/>
  <c r="Q79" i="7"/>
  <c r="Q78" i="7"/>
  <c r="J88" i="7"/>
  <c r="J87" i="7"/>
  <c r="J86" i="7"/>
  <c r="J85" i="7"/>
  <c r="J84" i="7"/>
  <c r="J83" i="7"/>
  <c r="J80" i="7"/>
  <c r="E17" i="20" s="1"/>
  <c r="J79" i="7"/>
  <c r="J78" i="7"/>
  <c r="X70" i="7"/>
  <c r="X69" i="7"/>
  <c r="X68" i="7"/>
  <c r="X67" i="7"/>
  <c r="X66" i="7"/>
  <c r="X65" i="7"/>
  <c r="X64" i="7"/>
  <c r="X63" i="7"/>
  <c r="X62" i="7"/>
  <c r="X61" i="7"/>
  <c r="X60" i="7"/>
  <c r="Q70" i="7"/>
  <c r="Q69" i="7"/>
  <c r="Q68" i="7"/>
  <c r="Q67" i="7"/>
  <c r="Q66" i="7"/>
  <c r="Q65" i="7"/>
  <c r="Q62" i="7"/>
  <c r="E17" i="21" s="1"/>
  <c r="Q61" i="7"/>
  <c r="Q60" i="7"/>
  <c r="J70" i="7"/>
  <c r="J69" i="7"/>
  <c r="J68" i="7"/>
  <c r="J67" i="7"/>
  <c r="J66" i="7"/>
  <c r="J65" i="7"/>
  <c r="J62" i="7"/>
  <c r="E16" i="20" s="1"/>
  <c r="J61" i="7"/>
  <c r="J60" i="7"/>
  <c r="X52" i="7"/>
  <c r="X51" i="7"/>
  <c r="X50" i="7"/>
  <c r="X49" i="7"/>
  <c r="X48" i="7"/>
  <c r="X47" i="7"/>
  <c r="X46" i="7"/>
  <c r="X45" i="7"/>
  <c r="X44" i="7"/>
  <c r="X43" i="7"/>
  <c r="X42" i="7"/>
  <c r="Q52" i="7"/>
  <c r="Q51" i="7"/>
  <c r="Q50" i="7"/>
  <c r="Q49" i="7"/>
  <c r="Q48" i="7"/>
  <c r="Q47" i="7"/>
  <c r="Q44" i="7"/>
  <c r="E16" i="21" s="1"/>
  <c r="Q43" i="7"/>
  <c r="Q42" i="7"/>
  <c r="J52" i="7"/>
  <c r="J51" i="7"/>
  <c r="J50" i="7"/>
  <c r="J49" i="7"/>
  <c r="J48" i="7"/>
  <c r="J47" i="7"/>
  <c r="J44" i="7"/>
  <c r="E15" i="20" s="1"/>
  <c r="J43" i="7"/>
  <c r="J42" i="7"/>
  <c r="X34" i="7"/>
  <c r="X33" i="7"/>
  <c r="X32" i="7"/>
  <c r="X31" i="7"/>
  <c r="X30" i="7"/>
  <c r="X29" i="7"/>
  <c r="X28" i="7"/>
  <c r="X27" i="7"/>
  <c r="X26" i="7"/>
  <c r="X25" i="7"/>
  <c r="X24" i="7"/>
  <c r="Q34" i="7"/>
  <c r="Q33" i="7"/>
  <c r="Q32" i="7"/>
  <c r="Q31" i="7"/>
  <c r="Q30" i="7"/>
  <c r="Q29" i="7"/>
  <c r="Q26" i="7"/>
  <c r="E15" i="21" s="1"/>
  <c r="Q25" i="7"/>
  <c r="Q24" i="7"/>
  <c r="J34" i="7"/>
  <c r="J33" i="7"/>
  <c r="J32" i="7"/>
  <c r="J31" i="7"/>
  <c r="J30" i="7"/>
  <c r="J29" i="7"/>
  <c r="J26" i="7"/>
  <c r="E14" i="20" s="1"/>
  <c r="J25" i="7"/>
  <c r="J24" i="7"/>
  <c r="X15" i="7"/>
  <c r="X14" i="7"/>
  <c r="X13" i="7"/>
  <c r="X12" i="7"/>
  <c r="X11" i="7"/>
  <c r="X10" i="7"/>
  <c r="X9" i="7"/>
  <c r="X8" i="7"/>
  <c r="X7" i="7"/>
  <c r="X6" i="7"/>
  <c r="X5" i="7"/>
  <c r="Q15" i="7"/>
  <c r="Q14" i="7"/>
  <c r="Q13" i="7"/>
  <c r="Q12" i="7"/>
  <c r="Q11" i="7"/>
  <c r="Q10" i="7"/>
  <c r="Q7" i="7"/>
  <c r="E14" i="21" s="1"/>
  <c r="Q6" i="7"/>
  <c r="Q5" i="7"/>
  <c r="J15" i="7"/>
  <c r="J14" i="7"/>
  <c r="J13" i="7"/>
  <c r="J12" i="7"/>
  <c r="J11" i="7"/>
  <c r="J10" i="7"/>
  <c r="J7" i="7"/>
  <c r="E13" i="20" s="1"/>
  <c r="J6" i="7"/>
  <c r="J5" i="7"/>
  <c r="J123" i="5"/>
  <c r="J122" i="5"/>
  <c r="J121" i="5"/>
  <c r="J120" i="5"/>
  <c r="J119" i="5"/>
  <c r="J118" i="5"/>
  <c r="J115" i="5"/>
  <c r="J114" i="5"/>
  <c r="J113" i="5"/>
  <c r="X105" i="5"/>
  <c r="X104" i="5"/>
  <c r="X103" i="5"/>
  <c r="X102" i="5"/>
  <c r="X101" i="5"/>
  <c r="X100" i="5"/>
  <c r="X99" i="5"/>
  <c r="X98" i="5"/>
  <c r="X97" i="5"/>
  <c r="X96" i="5"/>
  <c r="X95" i="5"/>
  <c r="Q105" i="5"/>
  <c r="Q104" i="5"/>
  <c r="Q103" i="5"/>
  <c r="Q102" i="5"/>
  <c r="Q101" i="5"/>
  <c r="Q100" i="5"/>
  <c r="Q97" i="5"/>
  <c r="E11" i="21" s="1"/>
  <c r="Q96" i="5"/>
  <c r="Q95" i="5"/>
  <c r="J105" i="5"/>
  <c r="J104" i="5"/>
  <c r="J103" i="5"/>
  <c r="J102" i="5"/>
  <c r="J101" i="5"/>
  <c r="J100" i="5"/>
  <c r="J97" i="5"/>
  <c r="E11" i="20" s="1"/>
  <c r="J96" i="5"/>
  <c r="J95" i="5"/>
  <c r="X87" i="5"/>
  <c r="X86" i="5"/>
  <c r="X85" i="5"/>
  <c r="X84" i="5"/>
  <c r="X83" i="5"/>
  <c r="X82" i="5"/>
  <c r="X81" i="5"/>
  <c r="X80" i="5"/>
  <c r="X79" i="5"/>
  <c r="X78" i="5"/>
  <c r="X77" i="5"/>
  <c r="Q87" i="5"/>
  <c r="Q86" i="5"/>
  <c r="Q85" i="5"/>
  <c r="Q84" i="5"/>
  <c r="Q83" i="5"/>
  <c r="Q82" i="5"/>
  <c r="Q79" i="5"/>
  <c r="E10" i="21" s="1"/>
  <c r="Q78" i="5"/>
  <c r="Q77" i="5"/>
  <c r="J87" i="5"/>
  <c r="J86" i="5"/>
  <c r="J85" i="5"/>
  <c r="J84" i="5"/>
  <c r="J83" i="5"/>
  <c r="J82" i="5"/>
  <c r="J79" i="5"/>
  <c r="E10" i="20" s="1"/>
  <c r="J78" i="5"/>
  <c r="J77" i="5"/>
  <c r="G14" i="22" l="1"/>
  <c r="C15" i="22"/>
  <c r="C16" i="20"/>
  <c r="G17" i="20"/>
  <c r="C13" i="20"/>
  <c r="G13" i="20"/>
  <c r="C16" i="21"/>
  <c r="G17" i="21"/>
  <c r="C19" i="21"/>
  <c r="C11" i="21"/>
  <c r="G10" i="20"/>
  <c r="G19" i="21"/>
  <c r="C11" i="22"/>
  <c r="C10" i="21"/>
  <c r="G11" i="21"/>
  <c r="E17" i="22"/>
  <c r="G14" i="21"/>
  <c r="E14" i="22"/>
  <c r="G18" i="21"/>
  <c r="E18" i="22"/>
  <c r="G19" i="22"/>
  <c r="C14" i="21"/>
  <c r="E11" i="22"/>
  <c r="C15" i="20"/>
  <c r="G18" i="22"/>
  <c r="G10" i="21"/>
  <c r="E10" i="22"/>
  <c r="G11" i="22"/>
  <c r="C14" i="20"/>
  <c r="G15" i="20"/>
  <c r="C18" i="21"/>
  <c r="E19" i="22"/>
  <c r="C11" i="20"/>
  <c r="C15" i="21"/>
  <c r="G16" i="21"/>
  <c r="E16" i="22"/>
  <c r="G17" i="22"/>
  <c r="C18" i="22"/>
  <c r="C10" i="20"/>
  <c r="G11" i="20"/>
  <c r="G15" i="21"/>
  <c r="E15" i="22"/>
  <c r="G16" i="22"/>
  <c r="C17" i="22"/>
  <c r="C18" i="20"/>
  <c r="C10" i="22"/>
  <c r="C14" i="22"/>
  <c r="G16" i="20"/>
  <c r="X107" i="7"/>
  <c r="Y105" i="7" s="1"/>
  <c r="Z105" i="7" s="1"/>
  <c r="G15" i="22"/>
  <c r="C16" i="22"/>
  <c r="C17" i="20"/>
  <c r="G18" i="20"/>
  <c r="G10" i="22"/>
  <c r="G14" i="20"/>
  <c r="C17" i="21"/>
  <c r="C19" i="22"/>
  <c r="J107" i="7"/>
  <c r="K101" i="7" s="1"/>
  <c r="Q107" i="7"/>
  <c r="R98" i="7" s="1"/>
  <c r="S98" i="7" s="1"/>
  <c r="X124" i="5"/>
  <c r="X125" i="5" s="1"/>
  <c r="AA113" i="5" s="1"/>
  <c r="J124" i="5"/>
  <c r="K115" i="5" s="1"/>
  <c r="L115" i="5" s="1"/>
  <c r="J106" i="5"/>
  <c r="K102" i="5" s="1"/>
  <c r="L102" i="5" s="1"/>
  <c r="Q106" i="5"/>
  <c r="R102" i="5" s="1"/>
  <c r="S102" i="5" s="1"/>
  <c r="X106" i="5"/>
  <c r="X107" i="5" s="1"/>
  <c r="AA100" i="5" s="1"/>
  <c r="J88" i="5"/>
  <c r="K85" i="5" s="1"/>
  <c r="L85" i="5" s="1"/>
  <c r="Q88" i="5"/>
  <c r="R84" i="5" s="1"/>
  <c r="S84" i="5" s="1"/>
  <c r="X88" i="5"/>
  <c r="X89" i="5" s="1"/>
  <c r="AA79" i="5" s="1"/>
  <c r="X69" i="5"/>
  <c r="X68" i="5"/>
  <c r="X67" i="5"/>
  <c r="X66" i="5"/>
  <c r="X65" i="5"/>
  <c r="X64" i="5"/>
  <c r="X63" i="5"/>
  <c r="X62" i="5"/>
  <c r="X61" i="5"/>
  <c r="X60" i="5"/>
  <c r="X59" i="5"/>
  <c r="Q69" i="5"/>
  <c r="Q68" i="5"/>
  <c r="Q67" i="5"/>
  <c r="Q66" i="5"/>
  <c r="Q65" i="5"/>
  <c r="Q64" i="5"/>
  <c r="Q61" i="5"/>
  <c r="E9" i="21" s="1"/>
  <c r="Q59" i="5"/>
  <c r="J69" i="5"/>
  <c r="J68" i="5"/>
  <c r="J67" i="5"/>
  <c r="J66" i="5"/>
  <c r="J65" i="5"/>
  <c r="J64" i="5"/>
  <c r="J61" i="5"/>
  <c r="E9" i="20" s="1"/>
  <c r="J60" i="5"/>
  <c r="J59" i="5"/>
  <c r="X51" i="5"/>
  <c r="X50" i="5"/>
  <c r="X49" i="5"/>
  <c r="X48" i="5"/>
  <c r="X47" i="5"/>
  <c r="X46" i="5"/>
  <c r="X45" i="5"/>
  <c r="X44" i="5"/>
  <c r="X43" i="5"/>
  <c r="X42" i="5"/>
  <c r="X41" i="5"/>
  <c r="Q51" i="5"/>
  <c r="Q50" i="5"/>
  <c r="Q49" i="5"/>
  <c r="Q48" i="5"/>
  <c r="Q47" i="5"/>
  <c r="Q46" i="5"/>
  <c r="Q43" i="5"/>
  <c r="E8" i="21" s="1"/>
  <c r="Q42" i="5"/>
  <c r="Q41" i="5"/>
  <c r="J51" i="5"/>
  <c r="J50" i="5"/>
  <c r="J49" i="5"/>
  <c r="J48" i="5"/>
  <c r="J47" i="5"/>
  <c r="J46" i="5"/>
  <c r="J43" i="5"/>
  <c r="E8" i="20" s="1"/>
  <c r="J42" i="5"/>
  <c r="J41" i="5"/>
  <c r="X32" i="5"/>
  <c r="E7" i="21"/>
  <c r="E7" i="20"/>
  <c r="C106" i="7"/>
  <c r="C105" i="7"/>
  <c r="C104" i="7"/>
  <c r="C103" i="7"/>
  <c r="C102" i="7"/>
  <c r="C101" i="7"/>
  <c r="C98" i="7"/>
  <c r="E18" i="9" s="1"/>
  <c r="C97" i="7"/>
  <c r="C96" i="7"/>
  <c r="C88" i="7"/>
  <c r="C87" i="7"/>
  <c r="C86" i="7"/>
  <c r="C85" i="7"/>
  <c r="C84" i="7"/>
  <c r="C83" i="7"/>
  <c r="C80" i="7"/>
  <c r="C79" i="7"/>
  <c r="C78" i="7"/>
  <c r="C70" i="7"/>
  <c r="C69" i="7"/>
  <c r="C68" i="7"/>
  <c r="C67" i="7"/>
  <c r="C66" i="7"/>
  <c r="C65" i="7"/>
  <c r="C62" i="7"/>
  <c r="C61" i="7"/>
  <c r="C52" i="7"/>
  <c r="C51" i="7"/>
  <c r="C50" i="7"/>
  <c r="C49" i="7"/>
  <c r="C48" i="7"/>
  <c r="C47" i="7"/>
  <c r="C44" i="7"/>
  <c r="C43" i="7"/>
  <c r="C42" i="7"/>
  <c r="C34" i="7"/>
  <c r="C33" i="7"/>
  <c r="C32" i="7"/>
  <c r="C31" i="7"/>
  <c r="C30" i="7"/>
  <c r="C29" i="7"/>
  <c r="C26" i="7"/>
  <c r="C25" i="7"/>
  <c r="C24" i="7"/>
  <c r="C15" i="7"/>
  <c r="C14" i="7"/>
  <c r="C13" i="7"/>
  <c r="C12" i="7"/>
  <c r="C11" i="7"/>
  <c r="C10" i="7"/>
  <c r="C7" i="7"/>
  <c r="C6" i="7"/>
  <c r="C5" i="7"/>
  <c r="C123" i="5"/>
  <c r="C122" i="5"/>
  <c r="C121" i="5"/>
  <c r="C120" i="5"/>
  <c r="C119" i="5"/>
  <c r="C118" i="5"/>
  <c r="C115" i="5"/>
  <c r="C114" i="5"/>
  <c r="C113" i="5"/>
  <c r="C105" i="5"/>
  <c r="C104" i="5"/>
  <c r="C103" i="5"/>
  <c r="C102" i="5"/>
  <c r="C101" i="5"/>
  <c r="C100" i="5"/>
  <c r="C97" i="5"/>
  <c r="E11" i="9" s="1"/>
  <c r="C96" i="5"/>
  <c r="C95" i="5"/>
  <c r="C69" i="5"/>
  <c r="C68" i="5"/>
  <c r="C67" i="5"/>
  <c r="C66" i="5"/>
  <c r="C65" i="5"/>
  <c r="C64" i="5"/>
  <c r="C61" i="5"/>
  <c r="E9" i="9" s="1"/>
  <c r="C60" i="5"/>
  <c r="C59" i="5"/>
  <c r="C87" i="5"/>
  <c r="C86" i="5"/>
  <c r="C85" i="5"/>
  <c r="C84" i="5"/>
  <c r="C83" i="5"/>
  <c r="C82" i="5"/>
  <c r="C79" i="5"/>
  <c r="E10" i="9" s="1"/>
  <c r="C78" i="5"/>
  <c r="C77" i="5"/>
  <c r="C51" i="5"/>
  <c r="C50" i="5"/>
  <c r="C49" i="5"/>
  <c r="C48" i="5"/>
  <c r="C47" i="5"/>
  <c r="C46" i="5"/>
  <c r="C43" i="5"/>
  <c r="C42" i="5"/>
  <c r="C41" i="5"/>
  <c r="C33" i="5"/>
  <c r="C32" i="5"/>
  <c r="C31" i="5"/>
  <c r="C30" i="5"/>
  <c r="C29" i="5"/>
  <c r="C28" i="5"/>
  <c r="C25" i="5"/>
  <c r="E7" i="9" s="1"/>
  <c r="C24" i="5"/>
  <c r="C23" i="5"/>
  <c r="Y113" i="5" l="1"/>
  <c r="G9" i="9"/>
  <c r="G18" i="9"/>
  <c r="C7" i="9"/>
  <c r="G8" i="21"/>
  <c r="E8" i="22"/>
  <c r="G9" i="21"/>
  <c r="G9" i="22"/>
  <c r="AA77" i="5"/>
  <c r="AA114" i="5"/>
  <c r="AB113" i="5" s="1"/>
  <c r="D12" i="22" s="1"/>
  <c r="AA80" i="5"/>
  <c r="K120" i="5"/>
  <c r="L120" i="5" s="1"/>
  <c r="AA117" i="5"/>
  <c r="C8" i="20"/>
  <c r="G9" i="20"/>
  <c r="K114" i="5"/>
  <c r="G7" i="20"/>
  <c r="C9" i="21"/>
  <c r="Y97" i="7"/>
  <c r="Y98" i="7"/>
  <c r="Y99" i="7"/>
  <c r="AA116" i="5"/>
  <c r="Y104" i="7"/>
  <c r="Z104" i="7" s="1"/>
  <c r="C11" i="9"/>
  <c r="Y77" i="5"/>
  <c r="X108" i="7"/>
  <c r="AA102" i="7" s="1"/>
  <c r="Y100" i="7"/>
  <c r="Y106" i="7"/>
  <c r="Z106" i="7" s="1"/>
  <c r="C9" i="20"/>
  <c r="Y96" i="7"/>
  <c r="Y103" i="7"/>
  <c r="Z103" i="7" s="1"/>
  <c r="G10" i="9"/>
  <c r="C7" i="21"/>
  <c r="C7" i="22"/>
  <c r="AA97" i="5"/>
  <c r="Y96" i="5"/>
  <c r="AA82" i="5"/>
  <c r="C8" i="21"/>
  <c r="E9" i="22"/>
  <c r="K87" i="5"/>
  <c r="L87" i="5" s="1"/>
  <c r="AA115" i="5"/>
  <c r="Y101" i="7"/>
  <c r="G7" i="9"/>
  <c r="C9" i="9"/>
  <c r="Y78" i="5"/>
  <c r="Y102" i="7"/>
  <c r="K97" i="5"/>
  <c r="L97" i="5" s="1"/>
  <c r="K95" i="5"/>
  <c r="C10" i="9"/>
  <c r="G7" i="21"/>
  <c r="E7" i="22"/>
  <c r="G8" i="22"/>
  <c r="C9" i="22"/>
  <c r="R86" i="5"/>
  <c r="S86" i="5" s="1"/>
  <c r="K101" i="5"/>
  <c r="K84" i="5"/>
  <c r="L84" i="5" s="1"/>
  <c r="AA96" i="5"/>
  <c r="C107" i="7"/>
  <c r="D106" i="7" s="1"/>
  <c r="E106" i="7" s="1"/>
  <c r="K105" i="5"/>
  <c r="L105" i="5" s="1"/>
  <c r="G7" i="22"/>
  <c r="C8" i="22"/>
  <c r="R96" i="5"/>
  <c r="K100" i="5"/>
  <c r="AA118" i="5"/>
  <c r="G11" i="9"/>
  <c r="C7" i="20"/>
  <c r="G8" i="20"/>
  <c r="AA98" i="5"/>
  <c r="R104" i="7"/>
  <c r="S104" i="7" s="1"/>
  <c r="R101" i="7"/>
  <c r="K96" i="7"/>
  <c r="R97" i="7"/>
  <c r="K97" i="7"/>
  <c r="R96" i="7"/>
  <c r="R103" i="7"/>
  <c r="S103" i="7" s="1"/>
  <c r="K102" i="7"/>
  <c r="L101" i="7" s="1"/>
  <c r="J108" i="7"/>
  <c r="K105" i="7"/>
  <c r="L105" i="7" s="1"/>
  <c r="Q108" i="7"/>
  <c r="R105" i="7"/>
  <c r="S105" i="7" s="1"/>
  <c r="R102" i="7"/>
  <c r="R106" i="7"/>
  <c r="S106" i="7" s="1"/>
  <c r="K98" i="7"/>
  <c r="L98" i="7" s="1"/>
  <c r="K106" i="7"/>
  <c r="L106" i="7" s="1"/>
  <c r="K104" i="7"/>
  <c r="L104" i="7" s="1"/>
  <c r="K103" i="7"/>
  <c r="L103" i="7" s="1"/>
  <c r="AA119" i="5"/>
  <c r="Y114" i="5"/>
  <c r="K118" i="5"/>
  <c r="K123" i="5"/>
  <c r="L123" i="5" s="1"/>
  <c r="K113" i="5"/>
  <c r="K121" i="5"/>
  <c r="L121" i="5" s="1"/>
  <c r="K119" i="5"/>
  <c r="J125" i="5"/>
  <c r="K122" i="5"/>
  <c r="L122" i="5" s="1"/>
  <c r="Y95" i="5"/>
  <c r="R95" i="5"/>
  <c r="K78" i="5"/>
  <c r="R100" i="5"/>
  <c r="Q107" i="5"/>
  <c r="R105" i="5"/>
  <c r="S105" i="5" s="1"/>
  <c r="R104" i="5"/>
  <c r="S104" i="5" s="1"/>
  <c r="R103" i="5"/>
  <c r="S103" i="5" s="1"/>
  <c r="R101" i="5"/>
  <c r="J107" i="5"/>
  <c r="K104" i="5"/>
  <c r="L104" i="5" s="1"/>
  <c r="K103" i="5"/>
  <c r="L103" i="5" s="1"/>
  <c r="AA101" i="5"/>
  <c r="AB100" i="5" s="1"/>
  <c r="AA99" i="5"/>
  <c r="R97" i="5"/>
  <c r="S97" i="5" s="1"/>
  <c r="K96" i="5"/>
  <c r="AA95" i="5"/>
  <c r="Q89" i="5"/>
  <c r="R87" i="5"/>
  <c r="S87" i="5" s="1"/>
  <c r="R83" i="5"/>
  <c r="K82" i="5"/>
  <c r="R77" i="5"/>
  <c r="K83" i="5"/>
  <c r="R85" i="5"/>
  <c r="S85" i="5" s="1"/>
  <c r="R78" i="5"/>
  <c r="AA81" i="5"/>
  <c r="AA83" i="5"/>
  <c r="K77" i="5"/>
  <c r="J89" i="5"/>
  <c r="K86" i="5"/>
  <c r="L86" i="5" s="1"/>
  <c r="K79" i="5"/>
  <c r="L79" i="5" s="1"/>
  <c r="R82" i="5"/>
  <c r="AA78" i="5"/>
  <c r="R79" i="5"/>
  <c r="S79" i="5" s="1"/>
  <c r="C18" i="9"/>
  <c r="C88" i="5"/>
  <c r="D78" i="5" s="1"/>
  <c r="C106" i="5"/>
  <c r="D105" i="5" s="1"/>
  <c r="E105" i="5" s="1"/>
  <c r="C124" i="5"/>
  <c r="D121" i="5" s="1"/>
  <c r="E121" i="5" s="1"/>
  <c r="AB115" i="5" l="1"/>
  <c r="F12" i="22" s="1"/>
  <c r="Z98" i="7"/>
  <c r="AB79" i="5"/>
  <c r="BC72" i="6" s="1"/>
  <c r="AB97" i="5"/>
  <c r="BC87" i="6" s="1"/>
  <c r="Z95" i="5"/>
  <c r="Z113" i="5"/>
  <c r="AB77" i="5"/>
  <c r="D10" i="22" s="1"/>
  <c r="AB95" i="5"/>
  <c r="BC86" i="6" s="1"/>
  <c r="AA101" i="7"/>
  <c r="AB101" i="7" s="1"/>
  <c r="BC89" i="8" s="1"/>
  <c r="AA99" i="7"/>
  <c r="L113" i="5"/>
  <c r="Z101" i="7"/>
  <c r="Z96" i="7"/>
  <c r="D101" i="7"/>
  <c r="AA97" i="7"/>
  <c r="C108" i="7"/>
  <c r="F102" i="7" s="1"/>
  <c r="AA98" i="7"/>
  <c r="Z77" i="5"/>
  <c r="D97" i="7"/>
  <c r="D98" i="7"/>
  <c r="E98" i="7" s="1"/>
  <c r="D104" i="7"/>
  <c r="E104" i="7" s="1"/>
  <c r="S101" i="7"/>
  <c r="AA100" i="7"/>
  <c r="D105" i="7"/>
  <c r="E105" i="7" s="1"/>
  <c r="D103" i="7"/>
  <c r="E103" i="7" s="1"/>
  <c r="L77" i="5"/>
  <c r="AA96" i="7"/>
  <c r="L95" i="5"/>
  <c r="L100" i="5"/>
  <c r="AB118" i="5"/>
  <c r="H12" i="22" s="1"/>
  <c r="D96" i="7"/>
  <c r="D102" i="7"/>
  <c r="AB82" i="5"/>
  <c r="BC73" i="6" s="1"/>
  <c r="BC88" i="6"/>
  <c r="H11" i="22"/>
  <c r="S82" i="5"/>
  <c r="S95" i="5"/>
  <c r="S96" i="7"/>
  <c r="T101" i="7"/>
  <c r="T102" i="7"/>
  <c r="T96" i="7"/>
  <c r="T98" i="7"/>
  <c r="U98" i="7" s="1"/>
  <c r="T97" i="7"/>
  <c r="M101" i="7"/>
  <c r="M97" i="7"/>
  <c r="M96" i="7"/>
  <c r="M98" i="7"/>
  <c r="N98" i="7" s="1"/>
  <c r="M102" i="7"/>
  <c r="L96" i="7"/>
  <c r="M119" i="5"/>
  <c r="M118" i="5"/>
  <c r="M113" i="5"/>
  <c r="M115" i="5"/>
  <c r="N115" i="5" s="1"/>
  <c r="M114" i="5"/>
  <c r="L118" i="5"/>
  <c r="T95" i="5"/>
  <c r="T96" i="5"/>
  <c r="T100" i="5"/>
  <c r="T97" i="5"/>
  <c r="U97" i="5" s="1"/>
  <c r="T101" i="5"/>
  <c r="M96" i="5"/>
  <c r="M101" i="5"/>
  <c r="M95" i="5"/>
  <c r="M100" i="5"/>
  <c r="M97" i="5"/>
  <c r="N97" i="5" s="1"/>
  <c r="S100" i="5"/>
  <c r="S77" i="5"/>
  <c r="M82" i="5"/>
  <c r="M77" i="5"/>
  <c r="M83" i="5"/>
  <c r="M79" i="5"/>
  <c r="N79" i="5" s="1"/>
  <c r="M78" i="5"/>
  <c r="L82" i="5"/>
  <c r="T77" i="5"/>
  <c r="T78" i="5"/>
  <c r="T83" i="5"/>
  <c r="T79" i="5"/>
  <c r="U79" i="5" s="1"/>
  <c r="T82" i="5"/>
  <c r="D77" i="5"/>
  <c r="E77" i="5" s="1"/>
  <c r="D84" i="5"/>
  <c r="E84" i="5" s="1"/>
  <c r="C89" i="5"/>
  <c r="F82" i="5" s="1"/>
  <c r="D123" i="5"/>
  <c r="E123" i="5" s="1"/>
  <c r="D79" i="5"/>
  <c r="E79" i="5" s="1"/>
  <c r="D100" i="5"/>
  <c r="D96" i="5"/>
  <c r="D86" i="5"/>
  <c r="E86" i="5" s="1"/>
  <c r="C125" i="5"/>
  <c r="F113" i="5" s="1"/>
  <c r="D83" i="5"/>
  <c r="D85" i="5"/>
  <c r="E85" i="5" s="1"/>
  <c r="C107" i="5"/>
  <c r="F97" i="5" s="1"/>
  <c r="G97" i="5" s="1"/>
  <c r="D82" i="5"/>
  <c r="D87" i="5"/>
  <c r="E87" i="5" s="1"/>
  <c r="D119" i="5"/>
  <c r="D95" i="5"/>
  <c r="D122" i="5"/>
  <c r="E122" i="5" s="1"/>
  <c r="D97" i="5"/>
  <c r="E97" i="5" s="1"/>
  <c r="D101" i="5"/>
  <c r="D102" i="5"/>
  <c r="E102" i="5" s="1"/>
  <c r="D120" i="5"/>
  <c r="E120" i="5" s="1"/>
  <c r="D104" i="5"/>
  <c r="E104" i="5" s="1"/>
  <c r="D114" i="5"/>
  <c r="D103" i="5"/>
  <c r="E103" i="5" s="1"/>
  <c r="D115" i="5"/>
  <c r="E115" i="5" s="1"/>
  <c r="D113" i="5"/>
  <c r="D118" i="5"/>
  <c r="X15" i="5"/>
  <c r="X14" i="5"/>
  <c r="X13" i="5"/>
  <c r="X12" i="5"/>
  <c r="X11" i="5"/>
  <c r="X10" i="5"/>
  <c r="F10" i="22" l="1"/>
  <c r="AB98" i="7"/>
  <c r="BC88" i="8" s="1"/>
  <c r="F11" i="22"/>
  <c r="BC71" i="6"/>
  <c r="F101" i="7"/>
  <c r="G101" i="7" s="1"/>
  <c r="H18" i="9" s="1"/>
  <c r="F96" i="7"/>
  <c r="F97" i="7"/>
  <c r="D11" i="22"/>
  <c r="F98" i="7"/>
  <c r="G98" i="7" s="1"/>
  <c r="F18" i="9" s="1"/>
  <c r="H10" i="22"/>
  <c r="H19" i="22"/>
  <c r="E96" i="7"/>
  <c r="AB96" i="7"/>
  <c r="D19" i="22" s="1"/>
  <c r="E101" i="7"/>
  <c r="G5" i="22"/>
  <c r="U82" i="5"/>
  <c r="BB73" i="6" s="1"/>
  <c r="N101" i="7"/>
  <c r="BA89" i="8" s="1"/>
  <c r="N118" i="5"/>
  <c r="F11" i="9"/>
  <c r="AZ87" i="6"/>
  <c r="BA72" i="6"/>
  <c r="F10" i="20"/>
  <c r="BB72" i="6"/>
  <c r="F10" i="21"/>
  <c r="BB87" i="6"/>
  <c r="F11" i="21"/>
  <c r="F19" i="21"/>
  <c r="BB88" i="8"/>
  <c r="BA87" i="6"/>
  <c r="F11" i="20"/>
  <c r="F18" i="20"/>
  <c r="BA88" i="8"/>
  <c r="N96" i="7"/>
  <c r="U96" i="7"/>
  <c r="U101" i="7"/>
  <c r="N113" i="5"/>
  <c r="N95" i="5"/>
  <c r="U100" i="5"/>
  <c r="N100" i="5"/>
  <c r="U95" i="5"/>
  <c r="N77" i="5"/>
  <c r="U77" i="5"/>
  <c r="N82" i="5"/>
  <c r="E95" i="5"/>
  <c r="F78" i="5"/>
  <c r="F77" i="5"/>
  <c r="F83" i="5"/>
  <c r="G82" i="5" s="1"/>
  <c r="F114" i="5"/>
  <c r="G113" i="5" s="1"/>
  <c r="F115" i="5"/>
  <c r="G115" i="5" s="1"/>
  <c r="F118" i="5"/>
  <c r="F119" i="5"/>
  <c r="F79" i="5"/>
  <c r="G79" i="5" s="1"/>
  <c r="E82" i="5"/>
  <c r="F101" i="5"/>
  <c r="E100" i="5"/>
  <c r="F100" i="5"/>
  <c r="E118" i="5"/>
  <c r="F95" i="5"/>
  <c r="F96" i="5"/>
  <c r="E113" i="5"/>
  <c r="Q11" i="5"/>
  <c r="Q10" i="5"/>
  <c r="F19" i="22" l="1"/>
  <c r="G77" i="5"/>
  <c r="D10" i="9" s="1"/>
  <c r="AZ89" i="8"/>
  <c r="G96" i="7"/>
  <c r="D18" i="9" s="1"/>
  <c r="H10" i="21"/>
  <c r="AZ88" i="8"/>
  <c r="BC87" i="8"/>
  <c r="H18" i="20"/>
  <c r="G5" i="21"/>
  <c r="G95" i="5"/>
  <c r="D11" i="9" s="1"/>
  <c r="BA87" i="8"/>
  <c r="D18" i="20"/>
  <c r="BB88" i="6"/>
  <c r="H11" i="21"/>
  <c r="F10" i="9"/>
  <c r="AZ72" i="6"/>
  <c r="BA86" i="6"/>
  <c r="D11" i="20"/>
  <c r="BA73" i="6"/>
  <c r="H10" i="20"/>
  <c r="BA88" i="6"/>
  <c r="H11" i="20"/>
  <c r="BB71" i="6"/>
  <c r="D10" i="21"/>
  <c r="BA71" i="6"/>
  <c r="D10" i="20"/>
  <c r="BB89" i="8"/>
  <c r="H19" i="21"/>
  <c r="H10" i="9"/>
  <c r="AZ73" i="6"/>
  <c r="BB86" i="6"/>
  <c r="D11" i="21"/>
  <c r="D19" i="21"/>
  <c r="BB87" i="8"/>
  <c r="G118" i="5"/>
  <c r="G100" i="5"/>
  <c r="J15" i="5"/>
  <c r="J14" i="5"/>
  <c r="J13" i="5"/>
  <c r="J12" i="5"/>
  <c r="J11" i="5"/>
  <c r="J10" i="5"/>
  <c r="J6" i="5"/>
  <c r="J5" i="5"/>
  <c r="AZ71" i="6" l="1"/>
  <c r="AZ87" i="8"/>
  <c r="AZ86" i="6"/>
  <c r="G5" i="20"/>
  <c r="C5" i="20"/>
  <c r="H11" i="9"/>
  <c r="AZ88" i="6"/>
  <c r="X9" i="5"/>
  <c r="X8" i="5"/>
  <c r="X7" i="5"/>
  <c r="X6" i="5"/>
  <c r="X5" i="5"/>
  <c r="Q7" i="5"/>
  <c r="E5" i="21" s="1"/>
  <c r="Q6" i="5"/>
  <c r="C7" i="5"/>
  <c r="C6" i="5"/>
  <c r="C5" i="5"/>
  <c r="C15" i="5"/>
  <c r="C14" i="5"/>
  <c r="C13" i="5"/>
  <c r="C12" i="5"/>
  <c r="C11" i="5"/>
  <c r="C10" i="5"/>
  <c r="Q16" i="5" l="1"/>
  <c r="Q17" i="5" s="1"/>
  <c r="E5" i="22"/>
  <c r="C5" i="22"/>
  <c r="C5" i="21"/>
  <c r="J7" i="5"/>
  <c r="E5" i="20" s="1"/>
  <c r="X89" i="7" l="1"/>
  <c r="Y86" i="7" s="1"/>
  <c r="Z86" i="7" s="1"/>
  <c r="X71" i="7"/>
  <c r="Y68" i="7" s="1"/>
  <c r="Z68" i="7" s="1"/>
  <c r="X53" i="7"/>
  <c r="Y49" i="7" s="1"/>
  <c r="Z49" i="7" s="1"/>
  <c r="X35" i="7"/>
  <c r="Y33" i="7" s="1"/>
  <c r="Z33" i="7" s="1"/>
  <c r="X16" i="7"/>
  <c r="Y14" i="7" s="1"/>
  <c r="Z14" i="7" s="1"/>
  <c r="Y28" i="7" l="1"/>
  <c r="Y45" i="7"/>
  <c r="Y63" i="7"/>
  <c r="Y27" i="7"/>
  <c r="Y62" i="7"/>
  <c r="Y80" i="7"/>
  <c r="Y44" i="7"/>
  <c r="Y81" i="7"/>
  <c r="Y26" i="7"/>
  <c r="Y46" i="7"/>
  <c r="Y64" i="7"/>
  <c r="Y82" i="7"/>
  <c r="X16" i="5"/>
  <c r="Y12" i="5" s="1"/>
  <c r="Z12" i="5" s="1"/>
  <c r="Y5" i="7"/>
  <c r="Y43" i="7"/>
  <c r="Y67" i="7"/>
  <c r="Z67" i="7" s="1"/>
  <c r="Y48" i="7"/>
  <c r="Y51" i="7"/>
  <c r="Z51" i="7" s="1"/>
  <c r="X54" i="7"/>
  <c r="Y11" i="7"/>
  <c r="Y84" i="7"/>
  <c r="Y8" i="7"/>
  <c r="Y85" i="7"/>
  <c r="Z85" i="7" s="1"/>
  <c r="Y13" i="7"/>
  <c r="Z13" i="7" s="1"/>
  <c r="X17" i="7"/>
  <c r="AA6" i="7" s="1"/>
  <c r="Y12" i="7"/>
  <c r="Z12" i="7" s="1"/>
  <c r="Y66" i="7"/>
  <c r="Y69" i="7"/>
  <c r="Z69" i="7" s="1"/>
  <c r="Y88" i="7"/>
  <c r="Z88" i="7" s="1"/>
  <c r="X90" i="7"/>
  <c r="Y10" i="7"/>
  <c r="Y15" i="7"/>
  <c r="Z15" i="7" s="1"/>
  <c r="Y7" i="7"/>
  <c r="Y70" i="7"/>
  <c r="Z70" i="7" s="1"/>
  <c r="Y78" i="7"/>
  <c r="Y87" i="7"/>
  <c r="Z87" i="7" s="1"/>
  <c r="Y9" i="7"/>
  <c r="Y60" i="7"/>
  <c r="Y83" i="7"/>
  <c r="Y79" i="7"/>
  <c r="X72" i="7"/>
  <c r="Y65" i="7"/>
  <c r="Y61" i="7"/>
  <c r="Y52" i="7"/>
  <c r="Z52" i="7" s="1"/>
  <c r="Y50" i="7"/>
  <c r="Z50" i="7" s="1"/>
  <c r="Y47" i="7"/>
  <c r="Y42" i="7"/>
  <c r="Y34" i="7"/>
  <c r="Z34" i="7" s="1"/>
  <c r="Y24" i="7"/>
  <c r="Y25" i="7"/>
  <c r="Y31" i="7"/>
  <c r="Z31" i="7" s="1"/>
  <c r="Y30" i="7"/>
  <c r="Y29" i="7"/>
  <c r="X36" i="7"/>
  <c r="Y32" i="7"/>
  <c r="Z32" i="7" s="1"/>
  <c r="Y6" i="7"/>
  <c r="X34" i="5"/>
  <c r="X70" i="5"/>
  <c r="Y60" i="5" s="1"/>
  <c r="X52" i="5"/>
  <c r="Y43" i="5" s="1"/>
  <c r="Y30" i="5" l="1"/>
  <c r="Z30" i="5" s="1"/>
  <c r="Y122" i="5"/>
  <c r="Z122" i="5" s="1"/>
  <c r="Y121" i="5"/>
  <c r="Z121" i="5" s="1"/>
  <c r="Y101" i="5"/>
  <c r="Y87" i="5"/>
  <c r="Z87" i="5" s="1"/>
  <c r="Y100" i="5"/>
  <c r="Y99" i="5"/>
  <c r="Y83" i="5"/>
  <c r="Y116" i="5"/>
  <c r="Y123" i="5"/>
  <c r="Z123" i="5" s="1"/>
  <c r="Y82" i="5"/>
  <c r="Y80" i="5"/>
  <c r="Y85" i="5"/>
  <c r="Z85" i="5" s="1"/>
  <c r="Y105" i="5"/>
  <c r="Z105" i="5" s="1"/>
  <c r="Y81" i="5"/>
  <c r="Y79" i="5"/>
  <c r="Y119" i="5"/>
  <c r="Y102" i="5"/>
  <c r="Z102" i="5" s="1"/>
  <c r="Y84" i="5"/>
  <c r="Z84" i="5" s="1"/>
  <c r="Y120" i="5"/>
  <c r="Z120" i="5" s="1"/>
  <c r="Y97" i="5"/>
  <c r="Y104" i="5"/>
  <c r="Z104" i="5" s="1"/>
  <c r="Y103" i="5"/>
  <c r="Z103" i="5" s="1"/>
  <c r="Y115" i="5"/>
  <c r="Y98" i="5"/>
  <c r="Y118" i="5"/>
  <c r="Y117" i="5"/>
  <c r="Y86" i="5"/>
  <c r="Z86" i="5" s="1"/>
  <c r="Z5" i="7"/>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D14" i="22"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Z79" i="5" l="1"/>
  <c r="Z100" i="5"/>
  <c r="Z115" i="5"/>
  <c r="Z97" i="5"/>
  <c r="Z82" i="5"/>
  <c r="Z118" i="5"/>
  <c r="Z43" i="5"/>
  <c r="AB42" i="7"/>
  <c r="D16" i="22" s="1"/>
  <c r="AB62" i="7"/>
  <c r="F17" i="22" s="1"/>
  <c r="AB80" i="7"/>
  <c r="F18" i="22" s="1"/>
  <c r="AB44" i="7"/>
  <c r="F16" i="22" s="1"/>
  <c r="AB26" i="7"/>
  <c r="F15" i="22" s="1"/>
  <c r="AB7" i="7"/>
  <c r="F14" i="22" s="1"/>
  <c r="Z10" i="5"/>
  <c r="AB10" i="7"/>
  <c r="H14" i="22" s="1"/>
  <c r="AA41" i="5"/>
  <c r="AA42" i="5"/>
  <c r="AA46" i="5"/>
  <c r="AA47" i="5"/>
  <c r="AA45" i="5"/>
  <c r="AA43" i="5"/>
  <c r="AA44" i="5"/>
  <c r="AA59" i="5"/>
  <c r="AA60" i="5"/>
  <c r="AA61" i="5"/>
  <c r="AA62" i="5"/>
  <c r="AA63" i="5"/>
  <c r="AA65" i="5"/>
  <c r="AA64" i="5"/>
  <c r="Z41" i="5"/>
  <c r="AB47" i="7"/>
  <c r="H16" i="22" s="1"/>
  <c r="Z28" i="5"/>
  <c r="Z7" i="5"/>
  <c r="Z23" i="5"/>
  <c r="Z46" i="5"/>
  <c r="Z5" i="5"/>
  <c r="Z64" i="5"/>
  <c r="Z25" i="5"/>
  <c r="AA24" i="5"/>
  <c r="AA29" i="5"/>
  <c r="AA27" i="5"/>
  <c r="AA25" i="5"/>
  <c r="AA26" i="5"/>
  <c r="AA28" i="5"/>
  <c r="AA11" i="5"/>
  <c r="AA8" i="5"/>
  <c r="AA7" i="5"/>
  <c r="AA10" i="5"/>
  <c r="AA6" i="5"/>
  <c r="AA9" i="5"/>
  <c r="Z61" i="5"/>
  <c r="AB25" i="5" l="1"/>
  <c r="F7" i="22" s="1"/>
  <c r="AB61" i="5"/>
  <c r="F9" i="22" s="1"/>
  <c r="AB10" i="5"/>
  <c r="H5" i="22" s="1"/>
  <c r="AB7" i="5"/>
  <c r="F5" i="22" s="1"/>
  <c r="AB59" i="5"/>
  <c r="D9" i="22" s="1"/>
  <c r="AB41" i="5"/>
  <c r="D8" i="22" s="1"/>
  <c r="AB43" i="5"/>
  <c r="F8" i="22" s="1"/>
  <c r="AB64" i="5"/>
  <c r="H9" i="22" s="1"/>
  <c r="AB23" i="5"/>
  <c r="D7" i="22" s="1"/>
  <c r="AB46" i="5"/>
  <c r="H8" i="22" s="1"/>
  <c r="AB5" i="5"/>
  <c r="AD5" i="5" l="1"/>
  <c r="D5" i="22"/>
  <c r="AD7" i="5"/>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AB83" i="7" l="1"/>
  <c r="H18" i="22" s="1"/>
  <c r="AB78" i="7"/>
  <c r="D18" i="22" s="1"/>
  <c r="AB65" i="7"/>
  <c r="H17" i="22" s="1"/>
  <c r="AB60" i="7"/>
  <c r="D17" i="22" s="1"/>
  <c r="BC41" i="8"/>
  <c r="BC40" i="8"/>
  <c r="BC39" i="8"/>
  <c r="AB29" i="7"/>
  <c r="H15" i="22" s="1"/>
  <c r="AB24" i="7"/>
  <c r="D15" i="22" s="1"/>
  <c r="BC7" i="8"/>
  <c r="G14" i="9" l="1"/>
  <c r="BC71" i="8"/>
  <c r="BC72" i="8"/>
  <c r="BC73" i="8"/>
  <c r="BC57" i="8"/>
  <c r="BC55" i="8"/>
  <c r="BC56" i="8"/>
  <c r="BC24" i="8"/>
  <c r="BC25" i="8"/>
  <c r="BC23" i="8"/>
  <c r="BC9" i="8"/>
  <c r="BC8" i="8"/>
  <c r="G16"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7" i="9"/>
  <c r="G15" i="9"/>
  <c r="G13" i="9"/>
  <c r="E17" i="9"/>
  <c r="E16" i="9"/>
  <c r="E15" i="9"/>
  <c r="E14" i="9"/>
  <c r="E13" i="9"/>
  <c r="C17" i="9"/>
  <c r="C16" i="9"/>
  <c r="C15" i="9"/>
  <c r="C14" i="9"/>
  <c r="C13" i="9"/>
  <c r="Q17" i="7" l="1"/>
  <c r="T7" i="7" s="1"/>
  <c r="U7" i="7" s="1"/>
  <c r="F14" i="21" s="1"/>
  <c r="R7" i="7"/>
  <c r="S7" i="7" s="1"/>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H7" i="22" s="1"/>
  <c r="BC23" i="6"/>
  <c r="E5" i="9"/>
  <c r="T6" i="7" l="1"/>
  <c r="T11" i="7"/>
  <c r="T5" i="7"/>
  <c r="T10" i="7"/>
  <c r="L5" i="7"/>
  <c r="S60" i="7"/>
  <c r="BC24" i="6"/>
  <c r="BC25" i="6"/>
  <c r="BB8" i="8"/>
  <c r="AZ9" i="8"/>
  <c r="E8" i="9"/>
  <c r="AZ8" i="8"/>
  <c r="C5" i="9"/>
  <c r="J16" i="5"/>
  <c r="K7" i="5" s="1"/>
  <c r="C16" i="5"/>
  <c r="D5" i="5" s="1"/>
  <c r="T84" i="7"/>
  <c r="M79" i="7"/>
  <c r="E78" i="7"/>
  <c r="L78" i="7"/>
  <c r="E83" i="7"/>
  <c r="T29" i="7"/>
  <c r="H17" i="9"/>
  <c r="AZ73" i="8"/>
  <c r="F17" i="9"/>
  <c r="AZ72" i="8"/>
  <c r="S29" i="7"/>
  <c r="T30" i="7"/>
  <c r="T24" i="7"/>
  <c r="U24" i="7" s="1"/>
  <c r="D15" i="21" s="1"/>
  <c r="T26" i="7"/>
  <c r="U26" i="7" s="1"/>
  <c r="F15" i="21" s="1"/>
  <c r="S24" i="7"/>
  <c r="S42" i="7"/>
  <c r="G78" i="7"/>
  <c r="G42" i="7"/>
  <c r="M62" i="7"/>
  <c r="N62" i="7" s="1"/>
  <c r="F16" i="20" s="1"/>
  <c r="G47" i="7"/>
  <c r="M65" i="7"/>
  <c r="E29" i="7"/>
  <c r="M80" i="7"/>
  <c r="N80" i="7" s="1"/>
  <c r="F17" i="20" s="1"/>
  <c r="M83" i="7"/>
  <c r="N83" i="7" s="1"/>
  <c r="H17" i="20" s="1"/>
  <c r="E65" i="7"/>
  <c r="E42" i="7"/>
  <c r="E47" i="7"/>
  <c r="L24" i="7"/>
  <c r="S5" i="7"/>
  <c r="M78" i="7"/>
  <c r="T78" i="7"/>
  <c r="U78" i="7" s="1"/>
  <c r="D18" i="21" s="1"/>
  <c r="S78" i="7"/>
  <c r="L83" i="7"/>
  <c r="S10" i="7"/>
  <c r="G5" i="7"/>
  <c r="F26" i="7"/>
  <c r="G26" i="7" s="1"/>
  <c r="F25" i="7"/>
  <c r="F24" i="7"/>
  <c r="M11" i="7"/>
  <c r="T83" i="7"/>
  <c r="M29" i="7"/>
  <c r="M66" i="7"/>
  <c r="F29" i="7"/>
  <c r="G29" i="7" s="1"/>
  <c r="E60" i="7"/>
  <c r="M26" i="7"/>
  <c r="N26" i="7" s="1"/>
  <c r="F14" i="20" s="1"/>
  <c r="M24" i="7"/>
  <c r="N24" i="7" s="1"/>
  <c r="D14" i="20" s="1"/>
  <c r="M30" i="7"/>
  <c r="T80" i="7"/>
  <c r="U80" i="7" s="1"/>
  <c r="F18" i="21" s="1"/>
  <c r="F15" i="9"/>
  <c r="AZ40" i="8"/>
  <c r="L60" i="7"/>
  <c r="M61" i="7"/>
  <c r="N60" i="7" s="1"/>
  <c r="D16" i="20" s="1"/>
  <c r="M7" i="7"/>
  <c r="N7" i="7" s="1"/>
  <c r="F13" i="20" s="1"/>
  <c r="M5" i="7"/>
  <c r="N5" i="7" s="1"/>
  <c r="D13" i="20" s="1"/>
  <c r="L10" i="7"/>
  <c r="L47" i="7"/>
  <c r="M10" i="7"/>
  <c r="T62" i="7"/>
  <c r="U62" i="7" s="1"/>
  <c r="F17" i="21" s="1"/>
  <c r="S65" i="7"/>
  <c r="T66" i="7"/>
  <c r="U65" i="7" s="1"/>
  <c r="H17" i="21" s="1"/>
  <c r="T61" i="7"/>
  <c r="T60" i="7"/>
  <c r="L65" i="7"/>
  <c r="T48" i="7"/>
  <c r="T44" i="7"/>
  <c r="U44" i="7" s="1"/>
  <c r="F16" i="21" s="1"/>
  <c r="T43" i="7"/>
  <c r="T42" i="7"/>
  <c r="T47" i="7"/>
  <c r="M48" i="7"/>
  <c r="M44" i="7"/>
  <c r="N44" i="7" s="1"/>
  <c r="F15" i="20" s="1"/>
  <c r="M43" i="7"/>
  <c r="M42" i="7"/>
  <c r="M47" i="7"/>
  <c r="L42" i="7"/>
  <c r="F62" i="7"/>
  <c r="G62" i="7" s="1"/>
  <c r="F65" i="7"/>
  <c r="F66" i="7"/>
  <c r="F61" i="7"/>
  <c r="G60" i="7" s="1"/>
  <c r="G5" i="9"/>
  <c r="G8"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4" i="21" s="1"/>
  <c r="U10" i="7"/>
  <c r="R32" i="5"/>
  <c r="S32" i="5" s="1"/>
  <c r="R25" i="5"/>
  <c r="S25" i="5" s="1"/>
  <c r="R15" i="5"/>
  <c r="S15" i="5" s="1"/>
  <c r="T5" i="5"/>
  <c r="R12" i="5"/>
  <c r="S12" i="5" s="1"/>
  <c r="R11" i="5"/>
  <c r="BB24" i="8"/>
  <c r="BB57" i="8"/>
  <c r="BB23" i="8"/>
  <c r="BB72" i="8"/>
  <c r="BB40" i="8"/>
  <c r="BB56" i="8"/>
  <c r="BB71" i="8"/>
  <c r="H15" i="9"/>
  <c r="AZ7" i="8"/>
  <c r="AZ39" i="8"/>
  <c r="K12" i="5"/>
  <c r="L12" i="5" s="1"/>
  <c r="BA72" i="8"/>
  <c r="BA56" i="8"/>
  <c r="BA8" i="8"/>
  <c r="BA23" i="8"/>
  <c r="BA7" i="8"/>
  <c r="BA55" i="8"/>
  <c r="BA24" i="8"/>
  <c r="BA40" i="8"/>
  <c r="BA73" i="8"/>
  <c r="K33" i="5"/>
  <c r="L33" i="5" s="1"/>
  <c r="K25" i="5"/>
  <c r="L25" i="5" s="1"/>
  <c r="K48" i="5"/>
  <c r="L48" i="5" s="1"/>
  <c r="K43" i="5"/>
  <c r="L43" i="5" s="1"/>
  <c r="N78" i="7"/>
  <c r="D17" i="20" s="1"/>
  <c r="U83" i="7"/>
  <c r="H18" i="21" s="1"/>
  <c r="U47" i="7"/>
  <c r="H16" i="21" s="1"/>
  <c r="U29" i="7"/>
  <c r="H15" i="21" s="1"/>
  <c r="N65" i="7"/>
  <c r="H16" i="20" s="1"/>
  <c r="F16" i="9"/>
  <c r="AZ56" i="8"/>
  <c r="D17" i="9"/>
  <c r="AZ71" i="8"/>
  <c r="D16" i="9"/>
  <c r="AZ55" i="8"/>
  <c r="D15" i="9"/>
  <c r="D49" i="5"/>
  <c r="E49" i="5" s="1"/>
  <c r="AZ41" i="8"/>
  <c r="N29" i="7"/>
  <c r="H14" i="20" s="1"/>
  <c r="G24" i="7"/>
  <c r="N10" i="7"/>
  <c r="H13" i="20" s="1"/>
  <c r="F14" i="9"/>
  <c r="AZ24" i="8"/>
  <c r="D59" i="5"/>
  <c r="H14" i="9"/>
  <c r="AZ25" i="8"/>
  <c r="N42" i="7"/>
  <c r="D15" i="20" s="1"/>
  <c r="U60" i="7"/>
  <c r="D17" i="21" s="1"/>
  <c r="U42" i="7"/>
  <c r="D16" i="21" s="1"/>
  <c r="N47" i="7"/>
  <c r="H15" i="20" s="1"/>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3" i="9"/>
  <c r="R5" i="5"/>
  <c r="R6" i="5"/>
  <c r="R7" i="5"/>
  <c r="S7" i="5" s="1"/>
  <c r="R10" i="5"/>
  <c r="R14" i="5"/>
  <c r="S14" i="5" s="1"/>
  <c r="R13" i="5"/>
  <c r="S13" i="5" s="1"/>
  <c r="J17" i="5"/>
  <c r="L7" i="5"/>
  <c r="K5" i="5"/>
  <c r="K15" i="5"/>
  <c r="L15" i="5" s="1"/>
  <c r="BC7" i="6"/>
  <c r="BC9" i="6"/>
  <c r="J71" i="5"/>
  <c r="M61" i="5" s="1"/>
  <c r="N61" i="5" s="1"/>
  <c r="F9" i="20"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7" i="9"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9" i="8" l="1"/>
  <c r="H14" i="21"/>
  <c r="BB7" i="8"/>
  <c r="S5" i="5"/>
  <c r="BB41" i="8"/>
  <c r="BB73" i="8"/>
  <c r="BB55" i="8"/>
  <c r="BB25" i="8"/>
  <c r="BB39" i="8"/>
  <c r="T6" i="5"/>
  <c r="T7" i="5"/>
  <c r="U7" i="5" s="1"/>
  <c r="F5" i="21" s="1"/>
  <c r="D14" i="9"/>
  <c r="F59" i="5"/>
  <c r="BA9" i="8"/>
  <c r="BA57" i="8"/>
  <c r="BA71" i="8"/>
  <c r="BA56" i="6"/>
  <c r="BA41" i="8"/>
  <c r="BA39" i="8"/>
  <c r="BA25" i="8"/>
  <c r="M42" i="5"/>
  <c r="M43" i="5"/>
  <c r="N43" i="5" s="1"/>
  <c r="F8" i="20" s="1"/>
  <c r="M10" i="5"/>
  <c r="M7" i="5"/>
  <c r="N7" i="5" s="1"/>
  <c r="F5" i="20" s="1"/>
  <c r="E46" i="5"/>
  <c r="F65" i="5"/>
  <c r="G64" i="5" s="1"/>
  <c r="H9" i="9" s="1"/>
  <c r="E41" i="5"/>
  <c r="H16" i="9"/>
  <c r="AZ57" i="8"/>
  <c r="S64" i="5"/>
  <c r="F42" i="5"/>
  <c r="E59" i="5"/>
  <c r="F41" i="5"/>
  <c r="AZ23" i="8"/>
  <c r="G23" i="5"/>
  <c r="D7" i="9" s="1"/>
  <c r="E23" i="5"/>
  <c r="T11" i="5"/>
  <c r="F43" i="5"/>
  <c r="G43" i="5" s="1"/>
  <c r="T10" i="5"/>
  <c r="F47" i="5"/>
  <c r="G46" i="5" s="1"/>
  <c r="F61" i="5"/>
  <c r="G61" i="5" s="1"/>
  <c r="F9" i="9" s="1"/>
  <c r="F60" i="5"/>
  <c r="F5" i="5"/>
  <c r="F6" i="5"/>
  <c r="AZ24" i="6"/>
  <c r="H13" i="9"/>
  <c r="D13" i="9"/>
  <c r="M11" i="5"/>
  <c r="M65" i="5"/>
  <c r="M5" i="5"/>
  <c r="M6" i="5"/>
  <c r="L5" i="5"/>
  <c r="S46" i="5"/>
  <c r="S10" i="5"/>
  <c r="G28" i="5"/>
  <c r="H7" i="9" s="1"/>
  <c r="L10" i="5"/>
  <c r="M60" i="5"/>
  <c r="L41" i="5"/>
  <c r="M46" i="5"/>
  <c r="M59" i="5"/>
  <c r="M64" i="5"/>
  <c r="L59" i="5"/>
  <c r="L64" i="5"/>
  <c r="L46" i="5"/>
  <c r="M41" i="5"/>
  <c r="M47" i="5"/>
  <c r="S59" i="5"/>
  <c r="S41" i="5"/>
  <c r="T47" i="5"/>
  <c r="T42" i="5"/>
  <c r="T46" i="5"/>
  <c r="T41" i="5"/>
  <c r="T43" i="5"/>
  <c r="U43" i="5" s="1"/>
  <c r="F8" i="21" s="1"/>
  <c r="L23" i="5"/>
  <c r="L28" i="5"/>
  <c r="E28" i="5"/>
  <c r="T60" i="5"/>
  <c r="T61" i="5"/>
  <c r="U61" i="5" s="1"/>
  <c r="F9" i="21" s="1"/>
  <c r="T64" i="5"/>
  <c r="T59" i="5"/>
  <c r="T65" i="5"/>
  <c r="S28" i="5"/>
  <c r="T29" i="5"/>
  <c r="T28" i="5"/>
  <c r="T23" i="5"/>
  <c r="T24" i="5"/>
  <c r="T25" i="5"/>
  <c r="U25" i="5" s="1"/>
  <c r="F7" i="21" s="1"/>
  <c r="S23" i="5"/>
  <c r="N25" i="5"/>
  <c r="F7" i="20" s="1"/>
  <c r="M24" i="5"/>
  <c r="M23" i="5"/>
  <c r="M28" i="5"/>
  <c r="M29" i="5"/>
  <c r="E10" i="5"/>
  <c r="F10" i="5"/>
  <c r="F11" i="5"/>
  <c r="F7" i="5"/>
  <c r="G7" i="5" s="1"/>
  <c r="N41" i="5" l="1"/>
  <c r="D8" i="20" s="1"/>
  <c r="G5" i="5"/>
  <c r="G59" i="5"/>
  <c r="D9" i="9" s="1"/>
  <c r="BB24" i="6"/>
  <c r="BB56" i="6"/>
  <c r="BB40" i="6"/>
  <c r="BB8" i="6"/>
  <c r="U5" i="5"/>
  <c r="D5" i="21" s="1"/>
  <c r="U10" i="5"/>
  <c r="H5" i="21" s="1"/>
  <c r="H8" i="9"/>
  <c r="AZ40" i="6"/>
  <c r="BA24" i="6"/>
  <c r="BA8" i="6"/>
  <c r="BA40" i="6"/>
  <c r="N10" i="5"/>
  <c r="H5" i="20" s="1"/>
  <c r="AZ23" i="6"/>
  <c r="F8" i="9"/>
  <c r="AZ41" i="6"/>
  <c r="G41" i="5"/>
  <c r="AZ57" i="6"/>
  <c r="AZ8" i="6"/>
  <c r="F5" i="9"/>
  <c r="AZ25" i="6"/>
  <c r="AZ56" i="6"/>
  <c r="N5" i="5"/>
  <c r="D5" i="20" s="1"/>
  <c r="N64" i="5"/>
  <c r="H9" i="20" s="1"/>
  <c r="N59" i="5"/>
  <c r="D9" i="20" s="1"/>
  <c r="N46" i="5"/>
  <c r="H8" i="20" s="1"/>
  <c r="U41" i="5"/>
  <c r="D8" i="21" s="1"/>
  <c r="U46" i="5"/>
  <c r="H8" i="21" s="1"/>
  <c r="U28" i="5"/>
  <c r="H7" i="21" s="1"/>
  <c r="U64" i="5"/>
  <c r="H9" i="21" s="1"/>
  <c r="N23" i="5"/>
  <c r="D7" i="20" s="1"/>
  <c r="U59" i="5"/>
  <c r="D9" i="21" s="1"/>
  <c r="N28" i="5"/>
  <c r="H7" i="20" s="1"/>
  <c r="U23" i="5"/>
  <c r="D7" i="21" s="1"/>
  <c r="G10" i="5"/>
  <c r="BB39" i="6" l="1"/>
  <c r="AZ55" i="6"/>
  <c r="BB23" i="6"/>
  <c r="BB57" i="6"/>
  <c r="BB25" i="6"/>
  <c r="BB9" i="6"/>
  <c r="BB55" i="6"/>
  <c r="BB41" i="6"/>
  <c r="BB7" i="6"/>
  <c r="D5" i="9"/>
  <c r="D8" i="9"/>
  <c r="BA23" i="6"/>
  <c r="BA55" i="6"/>
  <c r="BA9" i="6"/>
  <c r="BA41" i="6"/>
  <c r="BA39" i="6"/>
  <c r="BA25" i="6"/>
  <c r="BA57" i="6"/>
  <c r="BA7" i="6"/>
  <c r="AZ39" i="6"/>
  <c r="AZ9" i="6"/>
  <c r="H5" i="9"/>
  <c r="AZ7" i="6"/>
</calcChain>
</file>

<file path=xl/comments1.xml><?xml version="1.0" encoding="utf-8"?>
<comments xmlns="http://schemas.openxmlformats.org/spreadsheetml/2006/main">
  <authors>
    <author>Jennifer Norman</author>
    <author>James Abbott</author>
  </authors>
  <commentList>
    <comment ref="G2" authorId="0" shapeId="0">
      <text>
        <r>
          <rPr>
            <b/>
            <sz val="9"/>
            <color indexed="81"/>
            <rFont val="Tahoma"/>
            <family val="2"/>
          </rPr>
          <t>(NUMERICAL INDICATORS ONLY)</t>
        </r>
      </text>
    </comment>
    <comment ref="K2" authorId="0" shapeId="0">
      <text>
        <r>
          <rPr>
            <b/>
            <sz val="9"/>
            <color indexed="81"/>
            <rFont val="Tahoma"/>
            <family val="2"/>
          </rPr>
          <t>(NUMERICAL INDICATORS ONLY)</t>
        </r>
      </text>
    </comment>
    <comment ref="L2" authorId="0" shapeId="0">
      <text>
        <r>
          <rPr>
            <b/>
            <sz val="9"/>
            <color indexed="81"/>
            <rFont val="Tahoma"/>
            <family val="2"/>
          </rPr>
          <t>(NUMERICAL INDICATORS ONLY)</t>
        </r>
      </text>
    </comment>
    <comment ref="P2" authorId="0" shapeId="0">
      <text>
        <r>
          <rPr>
            <b/>
            <sz val="9"/>
            <color indexed="81"/>
            <rFont val="Tahoma"/>
            <family val="2"/>
          </rPr>
          <t>(NUMERICAL INDICATORS ONLY)</t>
        </r>
      </text>
    </comment>
    <comment ref="Q2" authorId="0" shapeId="0">
      <text>
        <r>
          <rPr>
            <b/>
            <sz val="9"/>
            <color indexed="81"/>
            <rFont val="Tahoma"/>
            <family val="2"/>
          </rPr>
          <t>(NUMERICAL INDICATORS ONLY)</t>
        </r>
      </text>
    </comment>
    <comment ref="T2" authorId="1" shapeId="0">
      <text>
        <r>
          <rPr>
            <b/>
            <sz val="9"/>
            <color indexed="81"/>
            <rFont val="Tahoma"/>
            <family val="2"/>
          </rPr>
          <t>James Abbott:</t>
        </r>
        <r>
          <rPr>
            <sz val="9"/>
            <color indexed="81"/>
            <rFont val="Tahoma"/>
            <family val="2"/>
          </rPr>
          <t xml:space="preserve">
Please provide a comprehensive update on the progress of each indicator</t>
        </r>
      </text>
    </comment>
    <comment ref="U2" authorId="1" shapeId="0">
      <text>
        <r>
          <rPr>
            <b/>
            <sz val="9"/>
            <color indexed="81"/>
            <rFont val="Tahoma"/>
            <family val="2"/>
          </rPr>
          <t>James Abbott:</t>
        </r>
        <r>
          <rPr>
            <sz val="9"/>
            <color indexed="81"/>
            <rFont val="Tahoma"/>
            <family val="2"/>
          </rPr>
          <t xml:space="preserve">
</t>
        </r>
        <r>
          <rPr>
            <b/>
            <sz val="9"/>
            <color indexed="81"/>
            <rFont val="Tahoma"/>
            <family val="2"/>
          </rPr>
          <t xml:space="preserve">NUMERICAL INDICATORS ONLY:
</t>
        </r>
        <r>
          <rPr>
            <sz val="9"/>
            <color indexed="81"/>
            <rFont val="Tahoma"/>
            <family val="2"/>
          </rPr>
          <t xml:space="preserve">Please provide a full year cumulative figure where applicable. </t>
        </r>
        <r>
          <rPr>
            <sz val="9"/>
            <color indexed="81"/>
            <rFont val="Tahoma"/>
            <family val="2"/>
          </rPr>
          <t xml:space="preserve">
</t>
        </r>
      </text>
    </comment>
    <comment ref="V2" authorId="1" shapeId="0">
      <text>
        <r>
          <rPr>
            <b/>
            <sz val="9"/>
            <color indexed="81"/>
            <rFont val="Tahoma"/>
            <family val="2"/>
          </rPr>
          <t>James Abbott:</t>
        </r>
        <r>
          <rPr>
            <sz val="9"/>
            <color indexed="81"/>
            <rFont val="Tahoma"/>
            <family val="2"/>
          </rPr>
          <t xml:space="preserve">
Please choose an option from the drop down list that best describes the current situation for this target</t>
        </r>
      </text>
    </comment>
    <comment ref="W2" authorId="1" shapeId="0">
      <text>
        <r>
          <rPr>
            <b/>
            <sz val="9"/>
            <color indexed="81"/>
            <rFont val="Tahoma"/>
            <family val="2"/>
          </rPr>
          <t>James Abbott:</t>
        </r>
        <r>
          <rPr>
            <sz val="9"/>
            <color indexed="81"/>
            <rFont val="Tahoma"/>
            <family val="2"/>
          </rPr>
          <t xml:space="preserve">
Where applicable you should use this column to provide additional relevant information, including mitigation action or future improvements where target is not "Fully Achieved".</t>
        </r>
      </text>
    </comment>
  </commentList>
</comments>
</file>

<file path=xl/comments2.xml><?xml version="1.0" encoding="utf-8"?>
<comments xmlns="http://schemas.openxmlformats.org/spreadsheetml/2006/main">
  <authors>
    <author>Jennifer Norman</author>
  </authors>
  <commentList>
    <comment ref="G1" authorId="0" shapeId="0">
      <text>
        <r>
          <rPr>
            <b/>
            <sz val="9"/>
            <color indexed="81"/>
            <rFont val="Tahoma"/>
            <family val="2"/>
          </rPr>
          <t>Please note that all charts shown below can be amended to be displayed in alternative styles. Please right click on the relevant chart, select "change chart type" and choose your preferred chart option.</t>
        </r>
      </text>
    </comment>
  </commentList>
</comments>
</file>

<file path=xl/comments3.xml><?xml version="1.0" encoding="utf-8"?>
<comments xmlns="http://schemas.openxmlformats.org/spreadsheetml/2006/main">
  <authors>
    <author>Jennifer Norman</author>
  </authors>
  <commentList>
    <comment ref="F1" authorId="0" shapeId="0">
      <text>
        <r>
          <rPr>
            <b/>
            <sz val="9"/>
            <color indexed="81"/>
            <rFont val="Tahoma"/>
            <family val="2"/>
          </rPr>
          <t>Please note that all charts shown below can be amended to be displayed in alternative styles. Please right click on the relevant chart, select "change chart type" and choose your preferred chart option.</t>
        </r>
        <r>
          <rPr>
            <sz val="9"/>
            <color indexed="81"/>
            <rFont val="Tahoma"/>
            <family val="2"/>
          </rPr>
          <t xml:space="preserve">
</t>
        </r>
      </text>
    </comment>
  </commentList>
</comments>
</file>

<file path=xl/sharedStrings.xml><?xml version="1.0" encoding="utf-8"?>
<sst xmlns="http://schemas.openxmlformats.org/spreadsheetml/2006/main" count="3763" uniqueCount="941">
  <si>
    <t>Measures</t>
  </si>
  <si>
    <t>Target 2019/20</t>
  </si>
  <si>
    <t>Increasing Staffing Availability Through Reduced Sickness</t>
  </si>
  <si>
    <t>Minimise The Number Of Missed Bin Collections</t>
  </si>
  <si>
    <t>Major Planning Applications Determined Within 13 Weeks</t>
  </si>
  <si>
    <t>Top Quartile as measured against relevant MHCLG figures</t>
  </si>
  <si>
    <t>Minor Planning Applications Determined Within 8 Weeks</t>
  </si>
  <si>
    <t>Other Planning Applications Determined in 8 Weeks</t>
  </si>
  <si>
    <t>Delivering Better Services to Support Homelessness</t>
  </si>
  <si>
    <t>Portfolio</t>
  </si>
  <si>
    <t>Service</t>
  </si>
  <si>
    <t>Qtr</t>
  </si>
  <si>
    <t>Q4</t>
  </si>
  <si>
    <t>Q1</t>
  </si>
  <si>
    <t>Q2</t>
  </si>
  <si>
    <t>Q3</t>
  </si>
  <si>
    <t>Team</t>
  </si>
  <si>
    <t>Reporting Officer</t>
  </si>
  <si>
    <t>Target Date</t>
  </si>
  <si>
    <t>Quarter 1 On Track? (R/A/G)</t>
  </si>
  <si>
    <t>Comments / Further action (Q1)
(IF APPLICABLE)</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</si>
  <si>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</si>
  <si>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</si>
  <si>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</si>
  <si>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</si>
  <si>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</si>
  <si>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</si>
  <si>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</si>
  <si>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</si>
  <si>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</si>
  <si>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</si>
  <si>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</si>
  <si>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</si>
  <si>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</si>
  <si>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</si>
  <si>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</si>
  <si>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Quarter 2
 On Track? (R/A/G)</t>
  </si>
  <si>
    <t>Comments / Further action (Q2)
(IF APPLICABLE)</t>
  </si>
  <si>
    <t>Quarter 3 
On Track? (R/A/G)</t>
  </si>
  <si>
    <t>Comments / Further action (Q3)
(IF APPLICABLE)</t>
  </si>
  <si>
    <t>Comments / Further action (Q4)
(IF APPLICABLE)</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</si>
  <si>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</si>
  <si>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</si>
  <si>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</si>
  <si>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</si>
  <si>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</si>
  <si>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</si>
  <si>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</si>
  <si>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</si>
  <si>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</si>
  <si>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</si>
  <si>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</si>
  <si>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</si>
  <si>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Charts by Corporate Priority</t>
  </si>
  <si>
    <t>OVERALL PERFORMANCE</t>
  </si>
  <si>
    <t>Green</t>
  </si>
  <si>
    <t>Amber</t>
  </si>
  <si>
    <t>Red</t>
  </si>
  <si>
    <t>Number of Indicators</t>
  </si>
  <si>
    <t>Percentage</t>
  </si>
  <si>
    <t>Overall Performance</t>
  </si>
  <si>
    <t>All due targets</t>
  </si>
  <si>
    <t>Corporate Priority</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</si>
  <si>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</si>
  <si>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</si>
  <si>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</si>
  <si>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</si>
  <si>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</si>
  <si>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</si>
  <si>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</si>
  <si>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</si>
  <si>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</si>
  <si>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</si>
  <si>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</si>
  <si>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</si>
  <si>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</si>
  <si>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</si>
  <si>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</si>
  <si>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</si>
  <si>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End of Year Achieved?
(R/A/G)</t>
  </si>
  <si>
    <t>Average time from appointment to initial decision for homeless applicants of 3 days</t>
  </si>
  <si>
    <t>Report on the performance of the Leisure Operator on a quarterly basis</t>
  </si>
  <si>
    <t>Developing Tourism within the Borough</t>
  </si>
  <si>
    <t>Improve the Washlands as a regional attraction</t>
  </si>
  <si>
    <t>Support economic growth in East Staffordshire</t>
  </si>
  <si>
    <t xml:space="preserve">Maintain Performance On Recycling </t>
  </si>
  <si>
    <t>Maintain ‘Key to Key’ Void Turnaround to an average of 6 working days</t>
  </si>
  <si>
    <t>Developing Healthy Lifestyles</t>
  </si>
  <si>
    <t>Top Quartile as measured against relevant DLUHC figures</t>
  </si>
  <si>
    <t>Keeping Members informed on Planning Matters</t>
  </si>
  <si>
    <t>SMARTER Planning Services</t>
  </si>
  <si>
    <t>Climate Change Initiatives</t>
  </si>
  <si>
    <t>Brewhouse and Town Hall Service</t>
  </si>
  <si>
    <t>Maintain Performance For Street Cleansing</t>
  </si>
  <si>
    <t>Produce an update report and next steps for revised Housing Register and Allocations Service Contract</t>
  </si>
  <si>
    <t>Performance report identifying the reduction in empty homes</t>
  </si>
  <si>
    <t>Monitor Performance of the Local Plan</t>
  </si>
  <si>
    <t>Improve On The Average Time To Pay Creditors</t>
  </si>
  <si>
    <t>Refresh Member Training</t>
  </si>
  <si>
    <t xml:space="preserve">Time Taken to Process Benefit New Claims and Change Events (Previously NI 181)
Average time: 4.5 days  </t>
  </si>
  <si>
    <t>Quarterly</t>
  </si>
  <si>
    <t>Michael Hovers</t>
  </si>
  <si>
    <t>James Abbott</t>
  </si>
  <si>
    <t>Naomi Perry</t>
  </si>
  <si>
    <t>Margaret Woolley</t>
  </si>
  <si>
    <t>Rachel Liddle</t>
  </si>
  <si>
    <t>Paul Farrer</t>
  </si>
  <si>
    <t>Brett Atkinson</t>
  </si>
  <si>
    <t>Reference Number</t>
  </si>
  <si>
    <t>Tourism and Cultural Development</t>
  </si>
  <si>
    <t>Environment and Climate Change</t>
  </si>
  <si>
    <t>End of year forecast as at end of Q1</t>
  </si>
  <si>
    <t>End of year forecast as at end of Q2</t>
  </si>
  <si>
    <t>End of year forecast as at end of Q3</t>
  </si>
  <si>
    <t xml:space="preserve">Cumulative Annual Outturn </t>
  </si>
  <si>
    <t>CP Order</t>
  </si>
  <si>
    <t>2023-24 Corporate Plan Reporting Spreadsheet</t>
  </si>
  <si>
    <t>QUARTER 1: April - June 2023</t>
  </si>
  <si>
    <t>Target 2023-24</t>
  </si>
  <si>
    <t xml:space="preserve">Submit planning application for a Washlands Visitor Centre </t>
  </si>
  <si>
    <t xml:space="preserve">Finalise designs for the Garden of Remembrance enhancements </t>
  </si>
  <si>
    <t xml:space="preserve">Commence the construction of the Washlands Visitor Centre (subject to planning) </t>
  </si>
  <si>
    <t>Deliver the Burton upon Trent High Street Regeneration Project</t>
  </si>
  <si>
    <t xml:space="preserve">Continue to work in partnership with the Heritage Working Group and other stakeholders to develop the museum and heritage centre proposals for the High Street </t>
  </si>
  <si>
    <t xml:space="preserve">Work with partners to support the delivery of the three partner Towns Fund projects </t>
  </si>
  <si>
    <t>Take forward regeneration in Uttoxeter</t>
  </si>
  <si>
    <t>Continue to work in preparation of accessing external funding opportunities, when available, including the third round of the Levelling Up Fund</t>
  </si>
  <si>
    <t>Open Spaces initiatives</t>
  </si>
  <si>
    <t>Provide a third year update on the Parks Development Plan, with a view to reviewing wildflower planting</t>
  </si>
  <si>
    <t>Increase the number of volunteering opportunities from 3 to 6 per week at both the Horticulture Centre and/or Go Garden</t>
  </si>
  <si>
    <t>Work in partnership with external organisations to develop 4 Carbon Capture and Biodiversity areas across the Borough</t>
  </si>
  <si>
    <t>Relaunch the Councillors Community Fund</t>
  </si>
  <si>
    <t>Commence a Community Lottery providing funding opportunities for the local community and voluntary sector</t>
  </si>
  <si>
    <t>Housing Strategy Initiatives: 
Update on Improvements to the Housing Register</t>
  </si>
  <si>
    <t>Annual</t>
  </si>
  <si>
    <t xml:space="preserve">Supporting Sport and Leisure Delivery </t>
  </si>
  <si>
    <t>Supporting Sport and Leisure Delivery</t>
  </si>
  <si>
    <t>Updated Playing Pitch Strategy and review of indoor facilities completed</t>
  </si>
  <si>
    <t>Support the Better Health programme into the delivery phase and represent East Staffordshire through quarterly meetings</t>
  </si>
  <si>
    <t>Launch a grant scheme to support local Tourism businesses to develop projects and activity</t>
  </si>
  <si>
    <t xml:space="preserve">Develop a Tourism framework and Strategic Plan </t>
  </si>
  <si>
    <t>Deliver and baseline footfall for a range of tourism events throughout the year</t>
  </si>
  <si>
    <t>Complete review of way marking around Burton town centre</t>
  </si>
  <si>
    <t>Market Hall Development</t>
  </si>
  <si>
    <t>Number Of Missed Bin Collections: Achieve 99.97% successful bin collections across the Borough</t>
  </si>
  <si>
    <t>Improve Performance On Waste Reduction</t>
  </si>
  <si>
    <t>Residual Household Waste Per Household: Upper Quartile</t>
  </si>
  <si>
    <t>Household Waste Recycled and Composted: Upper Quartile</t>
  </si>
  <si>
    <t xml:space="preserve">Consider implementation of Food Waste strategy </t>
  </si>
  <si>
    <t>Deliver Borough wide entries for the ‘It’s Your Neighbourhood Park’ awards and maintain the results at 12 Gold Awards and 10 Silver Gilts</t>
  </si>
  <si>
    <t>Support an additional entry to the ‘It’s Your Neighbourhood Park awards scheme during 2023/24</t>
  </si>
  <si>
    <t>Deliver the In Bloom awards and sustain the number of Gold awards at a minimum of 3, across all categories</t>
  </si>
  <si>
    <t>Deliver a third year review of the Council’s Climate Change and Biodiversity Action Plan including delivery against the plan</t>
  </si>
  <si>
    <t>Investigate and identify the best locations for delivering EV off street charging points. Minimum of 4 to be identified</t>
  </si>
  <si>
    <t>Procure energy audits on key council buildings to maximise performance and identify energy efficiency and generation option to form a heat decarbonisation plan</t>
  </si>
  <si>
    <t>Ongoing by March 2024</t>
  </si>
  <si>
    <t>Improving Air Quality</t>
  </si>
  <si>
    <t>Review and update the air quality strategy and action plan</t>
  </si>
  <si>
    <t>Undertake a review of the Public Events Safety Advisory Group procedures and update as required</t>
  </si>
  <si>
    <t>Approve Refreshed Homelessness Strategy</t>
  </si>
  <si>
    <t>Licensing and Enforcement Activities-CCTV</t>
  </si>
  <si>
    <t>Complete roll out/ installation of fixed CCTV cameras</t>
  </si>
  <si>
    <t>Disabled Facilities Grants</t>
  </si>
  <si>
    <t>Work with our Leisure Operator to deliver an enhanced play day experience during summer 2023, providing free access for our local communities.</t>
  </si>
  <si>
    <t>Deliver 6 outdoor events, including activity such as street theatre and performances in our parks</t>
  </si>
  <si>
    <t>Further Enhancing Corporate Communications</t>
  </si>
  <si>
    <t>Introduce a regular Business online newsletter, delivering a minimum of 6 newsletters</t>
  </si>
  <si>
    <t>Improve awareness of Council Services, venues and initiatives</t>
  </si>
  <si>
    <t>Getting ready for the future</t>
  </si>
  <si>
    <t>Go live with the data-modelling of the waste management round configuration</t>
  </si>
  <si>
    <t xml:space="preserve">Report to Cabinet on the new round configuration and procurement requirements of the new waste management vehicles </t>
  </si>
  <si>
    <t>Prepare a Depot Strategy to identify options to future proof the service</t>
  </si>
  <si>
    <t>Carry out Green Vehicle Trial on collection rounds</t>
  </si>
  <si>
    <t>Options review on the approach for the Council’s fleet of small mechanical street cleaning vehicles</t>
  </si>
  <si>
    <t>Provide a 6 monthly update report on the performance of the grounds maintenance contractor</t>
  </si>
  <si>
    <t>Undertake an assessment of the Borough’s tree stock to determine the future impact of environmental factors such as Climate Change and ‘Ash die’ back</t>
  </si>
  <si>
    <t>Delivering Better Services to Support the Cost of Living Crisis</t>
  </si>
  <si>
    <t>Conduct a review of Local Council Tax Reduction Scheme</t>
  </si>
  <si>
    <t xml:space="preserve">Continue to Maximise Income Through Effective Collection Processes </t>
  </si>
  <si>
    <t>Working Towards the Reduction of Claimant Error Housing Benefit Overpayments (HBOPs)</t>
  </si>
  <si>
    <t xml:space="preserve">Maintain Robust Mechanisms for Contract Managing the Leisure Service Arrangements </t>
  </si>
  <si>
    <t>Undertake a review of the grant funding process that currently takes place through the East Staffordshire Sports Council</t>
  </si>
  <si>
    <t>Review of Car Parking Services</t>
  </si>
  <si>
    <t>Undertake a wide ranging review of the current car parking arrangements, including but not limited to; the Parking App, the charging regime and enforcement</t>
  </si>
  <si>
    <t>Complete the refurbishment of the Brewhouse roof</t>
  </si>
  <si>
    <t>Improve purchase order transactions so that the next time Internal Audit review practice in Q4 2023/24, 80% of POs are in place from the Internal Audit sample</t>
  </si>
  <si>
    <t>Review Planning feedback survey data</t>
  </si>
  <si>
    <t>Consider reintroduction of planning pre application advice</t>
  </si>
  <si>
    <t>Enhancing Procurement and Contract Management Processes</t>
  </si>
  <si>
    <t>Further Digital Enhancements</t>
  </si>
  <si>
    <t>Elected Member Intranet Implemented</t>
  </si>
  <si>
    <t xml:space="preserve">Successfully deliver local elections  </t>
  </si>
  <si>
    <t>Borough and Parish Council elections successfully delivered</t>
  </si>
  <si>
    <t xml:space="preserve">Review Member Induction Programme </t>
  </si>
  <si>
    <t xml:space="preserve"> October 2023</t>
  </si>
  <si>
    <t>Improving Financial Stewardship</t>
  </si>
  <si>
    <t>Approve the revised Treasury Management Strategy</t>
  </si>
  <si>
    <t>Approve the revised Medium Term Financial Strategy</t>
  </si>
  <si>
    <t xml:space="preserve">Deliver 4 Elected Member Finance briefings </t>
  </si>
  <si>
    <t>Improve service delivery timescales from ‘enquiry to completion’ by 10% on 22/23 performance</t>
  </si>
  <si>
    <t>Kelly Kerr-Delworth</t>
  </si>
  <si>
    <t>Regeneration and Development</t>
  </si>
  <si>
    <t>Communities and Regulatory Services</t>
  </si>
  <si>
    <t>Encourage businesses to adopt a low waste approach for food and packaging through the delivery of an education programme</t>
  </si>
  <si>
    <t>Finance and Treasury Management</t>
  </si>
  <si>
    <t>Objective</t>
  </si>
  <si>
    <t>ID01</t>
  </si>
  <si>
    <t>Improve local democracy and consultation</t>
  </si>
  <si>
    <t>Hold regular engagement events with businesses throughout the year</t>
  </si>
  <si>
    <t>ID02</t>
  </si>
  <si>
    <t>Hold Question &amp; Answer sessions with Cabinet Members using online and in-person community forums on ad hoc basis</t>
  </si>
  <si>
    <t>ID03</t>
  </si>
  <si>
    <t>Livestream Council meetings</t>
  </si>
  <si>
    <t>ID04</t>
  </si>
  <si>
    <t>Revoke Council Constitution changes from December 2022 and introduce public participation at scrutiny committees</t>
  </si>
  <si>
    <t>ID05</t>
  </si>
  <si>
    <r>
      <rPr>
        <b/>
        <sz val="11"/>
        <rFont val="Arial"/>
        <family val="2"/>
      </rPr>
      <t>Carry out a review of the Communications, Engagement and Consultation Strategy to improve e</t>
    </r>
    <r>
      <rPr>
        <b/>
        <sz val="11"/>
        <color rgb="FF000000"/>
        <rFont val="Arial"/>
        <family val="2"/>
      </rPr>
      <t>xisting council communications work</t>
    </r>
  </si>
  <si>
    <t>ID06</t>
  </si>
  <si>
    <t>PB01</t>
  </si>
  <si>
    <t>Tackling the cost of living crisis</t>
  </si>
  <si>
    <t>With partners, support and advise local residents by commissioning a new local debt advice service</t>
  </si>
  <si>
    <t>From October</t>
  </si>
  <si>
    <t>PB02</t>
  </si>
  <si>
    <t>Retain and enhance warm spaces and warm banks to provide continued support for residents who need help with energy bills</t>
  </si>
  <si>
    <t>PB03</t>
  </si>
  <si>
    <t>Support the work of local groups around the borough by supplying relevant supplies to food banks when stock runs low</t>
  </si>
  <si>
    <t>All year to March 2024</t>
  </si>
  <si>
    <t>PB04</t>
  </si>
  <si>
    <t>Housing and Planning – improve homelessness prevention</t>
  </si>
  <si>
    <t>Review and consider improvements for night shelter facilities</t>
  </si>
  <si>
    <t>PB05</t>
  </si>
  <si>
    <t>Building a Fairer and Greener Local Economy by creating municipal enterprise</t>
  </si>
  <si>
    <t>Produce options for a community wealth-building model to create a municipally (council and public) owned energy firm, suitable for a district authority</t>
  </si>
  <si>
    <r>
      <t xml:space="preserve">Building a Fairer </t>
    </r>
    <r>
      <rPr>
        <b/>
        <sz val="11"/>
        <color rgb="FF000000"/>
        <rFont val="Arial"/>
        <family val="2"/>
      </rPr>
      <t>Local Economy</t>
    </r>
  </si>
  <si>
    <t>PB07</t>
  </si>
  <si>
    <t>Housing and Planning</t>
  </si>
  <si>
    <t>Review and consider improvements for making Section 106 funding process more open and transparent, via the ESBC website and Member Intranet; and consider policy changes to ESBC's s106 approach</t>
  </si>
  <si>
    <t>PB08</t>
  </si>
  <si>
    <t>Standing up for communities</t>
  </si>
  <si>
    <t>Reshape the UK shared prosperity funding to focus more strongly on community needs</t>
  </si>
  <si>
    <t>PB09</t>
  </si>
  <si>
    <t>Approve the detail of UKSPF funding programmes</t>
  </si>
  <si>
    <t>PB10</t>
  </si>
  <si>
    <r>
      <t>Building a Fairer</t>
    </r>
    <r>
      <rPr>
        <b/>
        <sz val="11"/>
        <color rgb="FF000000"/>
        <rFont val="Arial"/>
        <family val="2"/>
      </rPr>
      <t xml:space="preserve"> Local Economy</t>
    </r>
  </si>
  <si>
    <t>Work with partners to create a fair employment charter</t>
  </si>
  <si>
    <t>GD01</t>
  </si>
  <si>
    <t>Identify 150 properties with an EPC of D or below where the occupant is on Council tax reduction to offer a range of energy efficiency measures, including insulation, to reduce fuel poverty</t>
  </si>
  <si>
    <t>GD02</t>
  </si>
  <si>
    <t>Tackling Envirocrime</t>
  </si>
  <si>
    <t>Increase levels of action taken against anti-social behaviour by reviewing the performance of mobile CCTV provision and seeking to achieve a 20% increase in the number of deployments (from 22)</t>
  </si>
  <si>
    <t>Review of progress  December 2023</t>
  </si>
  <si>
    <t>GD03</t>
  </si>
  <si>
    <t>Increase levels of action taken against anti-social behaviour through undertaking 4 initiatives to address fly tipping under the 'Tackle the Tippers' campaign</t>
  </si>
  <si>
    <t>GD04</t>
  </si>
  <si>
    <t>A Green New Deal for East Staffordshire</t>
  </si>
  <si>
    <t>Promote new green technologies in the borough</t>
  </si>
  <si>
    <t>GD05</t>
  </si>
  <si>
    <t xml:space="preserve">Promote increased use of public transport  </t>
  </si>
  <si>
    <t>GD06</t>
  </si>
  <si>
    <t>Work with local cycle firms to provide affordable bike rental for visitors and residents</t>
  </si>
  <si>
    <t>GD07</t>
  </si>
  <si>
    <t>Work with partners to introduce the Passivhaus housing development standard (which will keep heat loss in new homes to a minimum)</t>
  </si>
  <si>
    <t>GD08</t>
  </si>
  <si>
    <t>GD09</t>
  </si>
  <si>
    <t>Find opportunities and create a network of community orchards and wildlife corridors</t>
  </si>
  <si>
    <t>GD10</t>
  </si>
  <si>
    <t>Introduce mobile fly-tipping removal vehicle</t>
  </si>
  <si>
    <t>GD11</t>
  </si>
  <si>
    <t>PH01</t>
  </si>
  <si>
    <t>Protecting our Heritage</t>
  </si>
  <si>
    <t>Consider creating a model of co-operative ownership of Burton Market Hall, with six monthly reporting</t>
  </si>
  <si>
    <t>PH02</t>
  </si>
  <si>
    <t>With the National Brewery Trust, create a timeline and plan to ensure historical archives from the closed NBC are re-housed in the future development</t>
  </si>
  <si>
    <t>PH03</t>
  </si>
  <si>
    <t>With the National Brewery Trust, contact owners of all former NBC artefacts to discuss their return to the future development</t>
  </si>
  <si>
    <t>PH04</t>
  </si>
  <si>
    <t>With the Towns Fund Board, review and adapt High Street linkages project as appropriate</t>
  </si>
  <si>
    <t>PH05</t>
  </si>
  <si>
    <t>Upgrade the Market Hall working group to a scrutiny committee</t>
  </si>
  <si>
    <t>May Full Council meeting 2023</t>
  </si>
  <si>
    <t>SC01</t>
  </si>
  <si>
    <t>Ensuring the right to food</t>
  </si>
  <si>
    <t>September Council meeting</t>
  </si>
  <si>
    <t>SC02</t>
  </si>
  <si>
    <t>Introduce community kitchens in existing council facilities</t>
  </si>
  <si>
    <t>SC03</t>
  </si>
  <si>
    <t>Adopt and publicise the Right to Food motion at Full Council meeting</t>
  </si>
  <si>
    <t>SC04</t>
  </si>
  <si>
    <t>Backing our Taxi Drivers</t>
  </si>
  <si>
    <t>Review Licensing policy with the trade and ensure drivers are supported in the transition to Euro 6 emission standards</t>
  </si>
  <si>
    <t>SC05</t>
  </si>
  <si>
    <t>Standing up for our NHS</t>
  </si>
  <si>
    <t>Create a sole focus for health scrutiny in a single scrutiny committee</t>
  </si>
  <si>
    <t>CRS01</t>
  </si>
  <si>
    <t>CRS02</t>
  </si>
  <si>
    <t>CRS03</t>
  </si>
  <si>
    <t>Supporting local communities</t>
  </si>
  <si>
    <t>CRS04</t>
  </si>
  <si>
    <t>Deliver a community grant scheme to help enhance local areas</t>
  </si>
  <si>
    <t>CRS05</t>
  </si>
  <si>
    <t>CRS06</t>
  </si>
  <si>
    <t>CRS07</t>
  </si>
  <si>
    <t>CRS08</t>
  </si>
  <si>
    <t>CRS09</t>
  </si>
  <si>
    <t>CRS10</t>
  </si>
  <si>
    <t>CRS11</t>
  </si>
  <si>
    <t>CRS12</t>
  </si>
  <si>
    <t>ECC01</t>
  </si>
  <si>
    <t>ECC02</t>
  </si>
  <si>
    <t>ECC03</t>
  </si>
  <si>
    <t>ECC04</t>
  </si>
  <si>
    <t>ECC05</t>
  </si>
  <si>
    <t>ECC06</t>
  </si>
  <si>
    <t>ECC07</t>
  </si>
  <si>
    <t>ECC08</t>
  </si>
  <si>
    <t>ECC09</t>
  </si>
  <si>
    <t>ECC10</t>
  </si>
  <si>
    <t>ECC11</t>
  </si>
  <si>
    <t>ECC12</t>
  </si>
  <si>
    <t>July 2023 / March 2024</t>
  </si>
  <si>
    <t>ECC14</t>
  </si>
  <si>
    <t>ECC15</t>
  </si>
  <si>
    <t>ECC16</t>
  </si>
  <si>
    <t>ECC17</t>
  </si>
  <si>
    <t>ECC18</t>
  </si>
  <si>
    <t>ECC19</t>
  </si>
  <si>
    <t>ECC20</t>
  </si>
  <si>
    <t>ECC21</t>
  </si>
  <si>
    <t>ECC22</t>
  </si>
  <si>
    <t>ECC23</t>
  </si>
  <si>
    <t>TCD01</t>
  </si>
  <si>
    <t>TCD02</t>
  </si>
  <si>
    <t>TCD03</t>
  </si>
  <si>
    <t>TCD04</t>
  </si>
  <si>
    <t>TCD05</t>
  </si>
  <si>
    <t>TCD06</t>
  </si>
  <si>
    <t>TCD07</t>
  </si>
  <si>
    <t>TCD08</t>
  </si>
  <si>
    <t>TCD10</t>
  </si>
  <si>
    <t>Review outdoor sports provision in Uttoxeter, including the proposed Sports Hub and other potential outdoor sports sites</t>
  </si>
  <si>
    <t>TCD11</t>
  </si>
  <si>
    <t>TCD12</t>
  </si>
  <si>
    <t>TCD13</t>
  </si>
  <si>
    <t>TCD14</t>
  </si>
  <si>
    <t>TCD15</t>
  </si>
  <si>
    <t>RAD01</t>
  </si>
  <si>
    <t>RAD02</t>
  </si>
  <si>
    <t>RAD03</t>
  </si>
  <si>
    <t>RAD04</t>
  </si>
  <si>
    <t>Appoint contractors to deliver Washlands Enhancement Project</t>
  </si>
  <si>
    <t>RAD05</t>
  </si>
  <si>
    <t>RAD06</t>
  </si>
  <si>
    <t>RAD07</t>
  </si>
  <si>
    <t>RAD08</t>
  </si>
  <si>
    <t>Consider findings of Maltings regeneration project consultation</t>
  </si>
  <si>
    <t>RAD09</t>
  </si>
  <si>
    <t>Agree purchase of Uttoxeter former Co-op building</t>
  </si>
  <si>
    <t>RAD10</t>
  </si>
  <si>
    <t>Consider the best approach to acquiring the remainder of the Maltings precinct and review proposals to regenerate the Maltings area</t>
  </si>
  <si>
    <t>RAD11</t>
  </si>
  <si>
    <t>Launch and administer a business grant programme</t>
  </si>
  <si>
    <t>RAD12</t>
  </si>
  <si>
    <t>RAD13</t>
  </si>
  <si>
    <t>RAD14</t>
  </si>
  <si>
    <t>RAD15</t>
  </si>
  <si>
    <t>RAD16</t>
  </si>
  <si>
    <t>RAD17</t>
  </si>
  <si>
    <t>RAD19</t>
  </si>
  <si>
    <t>Complete the annual review of the Local Plan</t>
  </si>
  <si>
    <t>FTM01</t>
  </si>
  <si>
    <t>FTM02</t>
  </si>
  <si>
    <t>FTM06</t>
  </si>
  <si>
    <t>FTM07</t>
  </si>
  <si>
    <t>FTM08</t>
  </si>
  <si>
    <t>LDR01</t>
  </si>
  <si>
    <t>LDR02</t>
  </si>
  <si>
    <t>Create a Procurement Improvement Action Plan, based on Whole Council Spend Analysis</t>
  </si>
  <si>
    <t>LDR03</t>
  </si>
  <si>
    <t>LDR04</t>
  </si>
  <si>
    <t>LDR05</t>
  </si>
  <si>
    <t>LDR06</t>
  </si>
  <si>
    <t>LDR07</t>
  </si>
  <si>
    <t>Enterprise</t>
  </si>
  <si>
    <t>Corporate &amp; Commercial</t>
  </si>
  <si>
    <t>Housing Options</t>
  </si>
  <si>
    <t>Housing</t>
  </si>
  <si>
    <t>Environmental Health</t>
  </si>
  <si>
    <t>Finance,
Corporate &amp; Commercial, 
&amp; HR</t>
  </si>
  <si>
    <t>Planning</t>
  </si>
  <si>
    <t>CEO Andy O'Brien</t>
  </si>
  <si>
    <t>HR</t>
  </si>
  <si>
    <t>Enforcement</t>
  </si>
  <si>
    <t>Planning Policy</t>
  </si>
  <si>
    <t>Environment</t>
  </si>
  <si>
    <t>All</t>
  </si>
  <si>
    <t>Enterprise, Assets, Finance &amp; Communities &amp; Open Spaces</t>
  </si>
  <si>
    <t>Licensing</t>
  </si>
  <si>
    <t>Licensing &amp; Enforcement</t>
  </si>
  <si>
    <t>Communities &amp; Open Spaces</t>
  </si>
  <si>
    <t>Brewhouse, Arts &amp; Town Hall</t>
  </si>
  <si>
    <t>Corporate &amp; Commercial &amp; Marketing</t>
  </si>
  <si>
    <t>Revenues &amp; Benefits</t>
  </si>
  <si>
    <t>Finance</t>
  </si>
  <si>
    <t>Improving local democracy</t>
  </si>
  <si>
    <t>Creating a prosperous East Staffordshire</t>
  </si>
  <si>
    <t>Developing a Green New Deal for East Staffordshire</t>
  </si>
  <si>
    <t>Protecting our heritage</t>
  </si>
  <si>
    <t>Standing up for our communities</t>
  </si>
  <si>
    <t>Find opportunities to use vertical and rooftop spaces to plant new gardens</t>
  </si>
  <si>
    <t>Sara Gummerson</t>
  </si>
  <si>
    <t>Quarter One (2023/24)</t>
  </si>
  <si>
    <t>Improving Local Democracy</t>
  </si>
  <si>
    <t>Other</t>
  </si>
  <si>
    <t xml:space="preserve">Communities and Regulatory Services </t>
  </si>
  <si>
    <t>Leader</t>
  </si>
  <si>
    <t>Cabinet Member Portfolio</t>
  </si>
  <si>
    <t>Scrutiny Committee</t>
  </si>
  <si>
    <t>QUARTER TWO (July - Sept 2023)</t>
  </si>
  <si>
    <t>QUARTER THREE (Oct - Dec 2023)</t>
  </si>
  <si>
    <t>QUARTER FOUR (Jan - Mar 2024)</t>
  </si>
  <si>
    <t>Quarter Two (2023/24)</t>
  </si>
  <si>
    <t>Quarter Three (2023/24)</t>
  </si>
  <si>
    <t>Quarter Four (2023/24)</t>
  </si>
  <si>
    <t xml:space="preserve">Developing a Green New Deal </t>
  </si>
  <si>
    <t>QUARTER ONE (April - June 2023) - performance by priority</t>
  </si>
  <si>
    <t>QUARTER ONE (April - June 2023) - performance by Cabinet Member portfolio</t>
  </si>
  <si>
    <t>FTM05a</t>
  </si>
  <si>
    <t>FTM05b</t>
  </si>
  <si>
    <t xml:space="preserve">Collection Rates of - 
    Council Tax : 98% </t>
  </si>
  <si>
    <t xml:space="preserve">Continue to Maximise Income Through Effective Collection Processes 
(Previously BV 9) </t>
  </si>
  <si>
    <t xml:space="preserve">Continue to Maximise Income Through Effective Collection Processes 
(Previously BV 10) </t>
  </si>
  <si>
    <t>Collection Rates of - 
    NNDR : 99%</t>
  </si>
  <si>
    <t>FTM04a</t>
  </si>
  <si>
    <t>FTM04b</t>
  </si>
  <si>
    <t>FTM04c</t>
  </si>
  <si>
    <t xml:space="preserve">% HBOPs recovered During the Year: 90% </t>
  </si>
  <si>
    <t xml:space="preserve"> 
% of HBOPS Processed and on Payment Arrangement: 90% </t>
  </si>
  <si>
    <t xml:space="preserve">
In Year HBOPs Recovered During the Year: 50%</t>
  </si>
  <si>
    <t>FTM03a</t>
  </si>
  <si>
    <t>FTM03b</t>
  </si>
  <si>
    <t>FTM03c</t>
  </si>
  <si>
    <t>Former Years Arrears for: 
Council Tax: 2,500,000</t>
  </si>
  <si>
    <t>Former Years Arrears for: 
NNDR: 1,500,000</t>
  </si>
  <si>
    <t>Former Years Arrears for: 
Sundry Debts: £80,000</t>
  </si>
  <si>
    <t>RAD18a</t>
  </si>
  <si>
    <t>9 x Planning Committee Member training sessions</t>
  </si>
  <si>
    <t>2 x All Member briefing sessions</t>
  </si>
  <si>
    <t>RAD18b</t>
  </si>
  <si>
    <t>ECC13a</t>
  </si>
  <si>
    <t>ECC13b</t>
  </si>
  <si>
    <t>ECC13c</t>
  </si>
  <si>
    <t>ECC13d</t>
  </si>
  <si>
    <t>Litter, 0% (using NI195 survey methodology)</t>
  </si>
  <si>
    <t>Detritus, 0% (using NI195 survey 
methodology)</t>
  </si>
  <si>
    <t>Graffiti, 0% (using NI195 survey 
methodology)</t>
  </si>
  <si>
    <t>Fly-posting, 0% (using NI195 survey 
methodology)</t>
  </si>
  <si>
    <t>PB06a</t>
  </si>
  <si>
    <t>PB06b</t>
  </si>
  <si>
    <t>Incentivise existing providers to recruit new staff/apprentices</t>
  </si>
  <si>
    <t>Produce a route map to insourcing council services that are currently outsourced</t>
  </si>
  <si>
    <t>Introduce a Citizens Assembly</t>
  </si>
  <si>
    <t>TCD09a</t>
  </si>
  <si>
    <t>TCD09b</t>
  </si>
  <si>
    <t>Continue to redevelop Council’s corporate website</t>
  </si>
  <si>
    <t>Develop a new, revised website for the Brewhouse, Arts and Civic Function Suite</t>
  </si>
  <si>
    <t>Launch the temporary National Archive 
Centre and Regeneration Update Hub 
following completion of works and relocation of the collection</t>
  </si>
  <si>
    <t>Short Term Sickness Days Average 3.5 days per FTE</t>
  </si>
  <si>
    <t>Value for Money</t>
  </si>
  <si>
    <t>Climate change and environment</t>
  </si>
  <si>
    <t>Initial discussions with Cabinet Member in relation to timescales</t>
  </si>
  <si>
    <t>Corporate &amp; Commercial, 
&amp; HR</t>
  </si>
  <si>
    <t>Work has been undertaken with the Staffordshire DMP as well as engaging local tourism attractions as part of the consultation process to develop the strategic plan</t>
  </si>
  <si>
    <t>Not due until Q2 as surveys run April - July</t>
  </si>
  <si>
    <t>To be reviewed in December.  No target to measure against.</t>
  </si>
  <si>
    <t>Work expected to be commenced July 2023</t>
  </si>
  <si>
    <t xml:space="preserve">To be considered as part of the Communication Strategy work. </t>
  </si>
  <si>
    <t>Constitution updated at the full Council meeting in May 2023 for the new Scrutiny (Regeneration, Development and Market Hall) Committee</t>
  </si>
  <si>
    <t>Constitution updated at the full Council meeting in May 2023 for the new Scrutiny (Health and Wellbeing) Committee.</t>
  </si>
  <si>
    <t xml:space="preserve">Initial work on preparing a brief commenced in June 2023. </t>
  </si>
  <si>
    <t xml:space="preserve">Consultants have been engaged and work underway on indoor and outdoor sports facility provision. </t>
  </si>
  <si>
    <t>Quarterly Performance Report presented to Corporate Management Team, Leader and Deputy Leaders, LAG / LOAG, Cabinet during May / June 2023 and scheduled for discussion at the July VFM Scrutiny Committee</t>
  </si>
  <si>
    <t xml:space="preserve">The Better Health Staffordshire East Staffordshire group continue to met on a quarterly basis. The priority theme of Food is being worked on by a specific task and finish group in order to hold a themed event relating to Food. </t>
  </si>
  <si>
    <t xml:space="preserve">Review commenced in quarter one, with a report and recommendations expected to come forward in August / September 2023. </t>
  </si>
  <si>
    <t>Intranet was implemented in April 2023 in line with the target, with the new cohort of Members utilising this following the 2023 Borough elections.</t>
  </si>
  <si>
    <t>Initial analysis underway</t>
  </si>
  <si>
    <t>Quarter 1 
(April - June 2023)</t>
  </si>
  <si>
    <t>Nathan Gallagher</t>
  </si>
  <si>
    <t>Subscriptions are open for the newsletter with 1300 already subscribed. First newsletter is intended to be issued in August 2023</t>
  </si>
  <si>
    <t>The new website is currently in development and on schedule for an Autumn implementation.</t>
  </si>
  <si>
    <t>Modelling of collection rounds underway with a view to presenting a report at September Cabinet</t>
  </si>
  <si>
    <t>Considering vehicle options. Continuing to monitor performance with current level of resource.</t>
  </si>
  <si>
    <t>100%
12 Major apps received all within time</t>
  </si>
  <si>
    <t>94%
136 Other apps received 128 within time</t>
  </si>
  <si>
    <t>94%
54 Minor apps received 51 within time</t>
  </si>
  <si>
    <t>No responses received for Quarter 1</t>
  </si>
  <si>
    <t>Officers hold a review meeting once a fortnight. The MEO prepares a weekly report of deployments and reports on footage captured. Since the 1st April 2023 we have had 9 deployments.</t>
  </si>
  <si>
    <t>First initiative is on 19th July 2023 in Anglesey. Multi Agency approach including duty of care visits to businesses, inspections for flytipping, free bulky waste collections, skips funded by the parish and ASB Harmony  Domestic Violence information</t>
  </si>
  <si>
    <t xml:space="preserve">Currently being finished with a view to seeking independent review prior to submitting to CMT in September. </t>
  </si>
  <si>
    <t>Not achieved still awaiting date from BT for installation of connections by Open Reach.</t>
  </si>
  <si>
    <t>126kg - estimated as not all data received</t>
  </si>
  <si>
    <t>48.76% - estimated as not all data received</t>
  </si>
  <si>
    <t xml:space="preserve">Review underway </t>
  </si>
  <si>
    <t xml:space="preserve">Review of pre-application service underway </t>
  </si>
  <si>
    <t>High volume of new claims received, but remain on track.</t>
  </si>
  <si>
    <t>Meetings scheduled to take place in quarter 2 with CMT, Pre-cabinet and Cabinet</t>
  </si>
  <si>
    <t>Discussions have been held internally to talk about taking these forward.  Events will be planned in the Autumn and the New Year,</t>
  </si>
  <si>
    <t>This has been drafted and is currently with central Government for approval.</t>
  </si>
  <si>
    <t>Talks are ongoing with the NBCT to discuss housing the archives. The Trust have been sorting through the archives to re-house in Station Street and they are on target to complete by the end of July 2023.</t>
  </si>
  <si>
    <t>Talks are ongoing with the NBCT to discuss contacting former NBC artefact owners and establish how ESBC can help.</t>
  </si>
  <si>
    <t xml:space="preserve">The work is almost complete on the refurbishing the regen hub. The NBCT are planning to open the archives in September and this is on track as planned.  </t>
  </si>
  <si>
    <t>The tender process is still ongoing as formalities are signed off in relation to appointing the successful contractor.  This is on track.</t>
  </si>
  <si>
    <t>Ongoing discussions about how to take this work forward. We are meeting with an expert from the High Street Task Force so he can share his thoughts on how the work could be taken forward to help regenerate Uttoxeter.</t>
  </si>
  <si>
    <t>This has been in process.  The guidance has been updated and agreements reached about who should be on the panel. This is due to be launched in August 2023.</t>
  </si>
  <si>
    <t>Ongoing; talks planned with Perfect Circle to identify other potential funding through the National Lottery</t>
  </si>
  <si>
    <t>29.27% against a target of 30%</t>
  </si>
  <si>
    <t>35.17%, which is 2.17% above target</t>
  </si>
  <si>
    <t>£2.5M</t>
  </si>
  <si>
    <t>Slightly above the target for the year</t>
  </si>
  <si>
    <t>£1.5M</t>
  </si>
  <si>
    <t>The arrears level for one quarter of the year takes into account debits raised during the current year relating to last years charges</t>
  </si>
  <si>
    <t>Nil</t>
  </si>
  <si>
    <t>£80K</t>
  </si>
  <si>
    <t>On track</t>
  </si>
  <si>
    <t xml:space="preserve">Staff currently undertaking Energy Efficiency Training. EDR being drafted and quotes are being requested from contractors to undertake the works. </t>
  </si>
  <si>
    <t>Climate Change Communication Policy has been agreed by EDR and will be used to promote Public Transport</t>
  </si>
  <si>
    <t>Report currently being drafted</t>
  </si>
  <si>
    <t xml:space="preserve">The Council currently offers a 'No First Night Out' provision as part of well worked rough sleeping pathway. </t>
  </si>
  <si>
    <t>Formal consideration of current provision and possible alternatives to follow.</t>
  </si>
  <si>
    <t>There were 74 initial homelessness decisions issued in Q1, with an average time to initial decision of 0.27 days.</t>
  </si>
  <si>
    <t>1 day</t>
  </si>
  <si>
    <t>One unit was deemed unfit to relet due to water damage from the flat above, resulting in the offer of an alternative unit elsewhere. This 'key to key' instance has not been included in the target by reason of exception.</t>
  </si>
  <si>
    <t>5 days</t>
  </si>
  <si>
    <t>There were 2 'key to key' turnarounds during Q1, giving an average of 1 working day void.</t>
  </si>
  <si>
    <t>A Quick Call has been sent to 3 providers requesting quotations by 14 Aug 23 for mobilisation on 1 Sep 23.</t>
  </si>
  <si>
    <t>Work with partners to campaign for universal school meals by adopting and publicising a council motion</t>
  </si>
  <si>
    <t>The precursor to the strategy, the Homelessness Review, has recently been released for consultation.</t>
  </si>
  <si>
    <t>The Allocations and Lettings Service is currently undergoing an audit, and preliminary conversations have been undertaken with the current supplier to evaluate the possibility of an  extension.</t>
  </si>
  <si>
    <t>Owen Hurcombe</t>
  </si>
  <si>
    <t>Tourism Grant scheme is live on the new Discover East Staffordshire website</t>
  </si>
  <si>
    <t>https://discovereaststaffordshire.com/tourism-development-grants/</t>
  </si>
  <si>
    <t>Two stakeholder workshops have taken place to develop a narrative and launch the stimulate phase of the project.</t>
  </si>
  <si>
    <t>Big Burton coronation event took place with around 400 visitors attending to watch the coronation live and Market Garden event in May with over 4000 attendees and 50 stall holders</t>
  </si>
  <si>
    <t xml:space="preserve">Outdoor events planned across August as part of Brewhouse On Tour. </t>
  </si>
  <si>
    <t>New corporate website is currently on schedule for July implementation</t>
  </si>
  <si>
    <t xml:space="preserve">Procurement process commenced June 2023, and is expected to be completed in July 2023 ahead of equipment mobilisation and implementation. </t>
  </si>
  <si>
    <t>A Food Forum is planned for 11 Jul 23 and designed to understand current provision and how best to support activity targeted at those experiencing the greatest hardship.</t>
  </si>
  <si>
    <t>The Food Forum on 11th July was well attended.
Further planning and design is required to develop the appropriate mechanism to support this activity.</t>
  </si>
  <si>
    <t>(Motion agreed at Full Council on 3rd July 2023 - fully achieved Q2).</t>
  </si>
  <si>
    <t>Motion to be put to Full Council on 3rd July 2023.</t>
  </si>
  <si>
    <t>Tender specification complete and proposal currently with planning for listed building consent with proposed tender ready for Quarter 2.</t>
  </si>
  <si>
    <t>Elections were successfully delivered in May 2023, including the new requirements of the Elections Bill</t>
  </si>
  <si>
    <t>To be considered at the July Council meeting.</t>
  </si>
  <si>
    <t>Council approved at July 2023 meeting (Quarter 2).</t>
  </si>
  <si>
    <t>Officer team are seeking to identify potential locations across quarters 1 and 2</t>
  </si>
  <si>
    <t>Community Grant Scheme in place and open for bids to be received from early quarter 2</t>
  </si>
  <si>
    <t>Relaunched following outcome of election</t>
  </si>
  <si>
    <t>Officers have identified 4 areas across East Staffordshire for Carbon Capture &amp; Biodiversity enhancements. Designs for these are to be prepared across quarter 2 and 3.</t>
  </si>
  <si>
    <t>Judging has taken place across June and July. Results expected in the early Autumn</t>
  </si>
  <si>
    <t>Unity Park (Shobnall) has been entered for the first time in the IYN awards following the recent refurbishment undertaken using Levelling Up Parks funding.</t>
  </si>
  <si>
    <t>Winter Performance (22/23) report presented to Cabinet in July</t>
  </si>
  <si>
    <t>Report on the Market Hall Business case is to received by Cabinet in Qtr 2.</t>
  </si>
  <si>
    <t xml:space="preserve">Community Lottery launched in June. Target of 50 "good causes" required by July 22nd to launch Lottery. 54 had been registered by 13/7/22. A number of players have since signed up and the purchase of tickets has commenced </t>
  </si>
  <si>
    <t>Assessment of tree stock has been completed and the scope of any works is now being analysed by Officers.</t>
  </si>
  <si>
    <t xml:space="preserve">Recruitment of two new officers has taken place in Quarter 1 which will enable the Horticulture Centre and GO Garden to expand the opportunities for volunteering </t>
  </si>
  <si>
    <t xml:space="preserve">Initial research has begun. </t>
  </si>
  <si>
    <t xml:space="preserve">Chief Officer following up with BT. </t>
  </si>
  <si>
    <t>Report on the Market Hall Business case is to received by Cabinet in Qtr 2. This will consider the options of co-operative as part of the scope of works</t>
  </si>
  <si>
    <t>Two training sessions undertaken in May and June</t>
  </si>
  <si>
    <t xml:space="preserve">Report ready for discussion at CMT in July and due to Cabinet in August. </t>
  </si>
  <si>
    <t>Procurement process has started and advert on Delta (procurement portal) to request quotes</t>
  </si>
  <si>
    <t>The collection figures are on par with previous year</t>
  </si>
  <si>
    <t>We currently have a better collection rate compared to last year</t>
  </si>
  <si>
    <t>Health and Wellbeing</t>
  </si>
  <si>
    <t>Plans are underway and enhance where possible the provision from last winter.</t>
  </si>
  <si>
    <t>Quarterly baseline information has been collated and input also been collected through the DMP STEAM data</t>
  </si>
  <si>
    <t xml:space="preserve">Approval to be requested for constitution changes, also including the approach for public participation at scrutiny committees, at the full Council meeting scheduled for 3rd July 2023. </t>
  </si>
  <si>
    <t xml:space="preserve">Discussions held with Everyone Active, who will be running this free to access event in August 2023, supported by the Council. Building on the enhanced offering introduced in 2022, following feedback from last year's event further food provision will be implemented for 2023. </t>
  </si>
  <si>
    <t>This is currently being worked up within ESBC and will be discussed with relevant partners. Discussions are ongoing internally in order to get ready to procure some services once the detail is agreed with central Government.</t>
  </si>
  <si>
    <t xml:space="preserve">Meetings have continued with the HWG with plans for the Heritage Centre to be potentially located in Old Bass House discussed with the group. </t>
  </si>
  <si>
    <t>Data modelling has commenced for the current collection rounds. Each collection day over a fortnightly cycle being modelled and optimised with a view to procuring additional resources for housing growth.</t>
  </si>
  <si>
    <t xml:space="preserve">Collating data on food waste collections, including vehicles, staff resources and ancillaries. </t>
  </si>
  <si>
    <t xml:space="preserve">On-going discussions with Distribution Network Operator on the supply network. </t>
  </si>
  <si>
    <t xml:space="preserve">Air Source Heat Pumps and Solar PV are two green technologies that can be installed through Staffordshire Warmer Homes and ECO flex. Grant funding for both schemes is available and this is being advertised as part of our communications policy.  </t>
  </si>
  <si>
    <t>Data will start to be added from QTR 2</t>
  </si>
  <si>
    <t xml:space="preserve">There is an approved scheme for the Garden of Remembrance and talks are ongoing with Staffordshire County Council in relation to the lighting and the Diocese in terms of other improvements to the area. </t>
  </si>
  <si>
    <t>0.75 days</t>
  </si>
  <si>
    <t>3.5 days</t>
  </si>
  <si>
    <t>Multiple</t>
  </si>
  <si>
    <t>23 out of 27 (85%) requests removed within 5 days. Average time to remove = within 4 days (of receipt of notice from CCE team)
The 4 delayed occasions were due to resources being diverted to other work (3 coincided with A38 working and 1 for In Bloom preparations).
Disposal responsibility rests with the County Council, although the vast majority of our waste is sent for incineration at an energy from waste facility.</t>
  </si>
  <si>
    <t>As part of a project aimed at shaping a new music-led narrative for Burton we will deliver 6 pop-up live events and 2 workshops</t>
  </si>
  <si>
    <t>Climate Change and Environment</t>
  </si>
  <si>
    <t>Y</t>
  </si>
  <si>
    <t>Arrears levels across the board will be reviewed in the next quarter</t>
  </si>
  <si>
    <t>A pre-application advice application has been made and this is currently being discussed with the LPA. Once comments have been received, a planning application will be submitted and a revised programme agreed in line with this.</t>
  </si>
  <si>
    <t>The commencement of these works is dependent upon the success of the planning application. A pre-application advice application is currently being reviewed with the LPA.</t>
  </si>
  <si>
    <t>Quarter 2 
(July - September 2023)</t>
  </si>
  <si>
    <t>Year to date
(April - Sept 2023)</t>
  </si>
  <si>
    <t>QUARTER 2: July - September 2023</t>
  </si>
  <si>
    <t>0% surveys carried out April - July</t>
  </si>
  <si>
    <t>Budget Guidelines and timetable agreed with Cabinet Member</t>
  </si>
  <si>
    <t>48.07% - estimated</t>
  </si>
  <si>
    <t>248.18kg - estimated</t>
  </si>
  <si>
    <t>42% estimated</t>
  </si>
  <si>
    <t>500kg estimated</t>
  </si>
  <si>
    <t>Report drafted for discussion at Corporate Management Team.</t>
  </si>
  <si>
    <t xml:space="preserve">Scheme has been reviewed, recommending no change for 2024-25. Report being finalised. </t>
  </si>
  <si>
    <t>2 weeks of new claims and 40+ homeless cases to do.
On track to meet yearly target.</t>
  </si>
  <si>
    <t>This has been approved</t>
  </si>
  <si>
    <t>This was approved by Council in September. Discussions ongoing with Procurement spec agreed for the delivery of some Business services; discussions with County over contract with them to deliver business services; proposal received from Community Foundation for service aimed at unemployed people; the Ward Enhancement Programme has been launched and Uttoxeter Regeneration project is progressing.</t>
  </si>
  <si>
    <t>Most artefacts held with Molson Coors; regular discussions take place with NBHT over the artefacts. A letter has been issued via the Trust to owners.</t>
  </si>
  <si>
    <t>The updated concept for Bass House, impacting the wider project, was approved by Council in September.</t>
  </si>
  <si>
    <t>One project is nearing completion (College Project), the cycle network project is well underway and the Towpath project will shortly be commencing.</t>
  </si>
  <si>
    <t>Designs for the Garden of Remembrance have been created. Meetings will now take place with the Diocese of Lichfield and St Modwens Church to further refine as needed.</t>
  </si>
  <si>
    <t>The findings of the consultation were considered by Cabinet Members, which informed the next steps for the project.</t>
  </si>
  <si>
    <t>This was approved by Council in July and the building is now in the Council's ownership.</t>
  </si>
  <si>
    <t>Amion concept proposal agreed by Council along with a recommendation to put this forward to a potential Levelling Up Fund Round 3. As of the end of September, Government has confirmed that LUF3 is still going ahead with details to follow.</t>
  </si>
  <si>
    <t>Policy reviewed and informal consultation has taken place. Presented to Pre Cabinet 21st September and due before Pre Cabinet again on 19th October 2023.</t>
  </si>
  <si>
    <t>1.45 days</t>
  </si>
  <si>
    <t xml:space="preserve">The Council meeting held on 25th September 2023 was the first meeting to be livestreamed. </t>
  </si>
  <si>
    <t xml:space="preserve">A review of the Council's Communications, Engagement and Consultation Strategy has been completed and is due to be presented to the cabinet meeting in October 2023.  </t>
  </si>
  <si>
    <t>Completed in Quarter 1</t>
  </si>
  <si>
    <t>Quarterly Performance Report presented to Corporate Management Team, Leader and Deputy Leaders, LAG / LOAG, Cabinet during August / September 2023 and at the 3 Scrutiny Committee meetings held in September</t>
  </si>
  <si>
    <t xml:space="preserve">Playday event was held in August, which included an increase in attendance of 900 people, an increase to 38 in Community groups being part of the event and showcasing themselves. Enhanced food options were available and the new Cycle Hub was given an official opening by the Mayor on the day. </t>
  </si>
  <si>
    <t xml:space="preserve">Supported an air quality bid with Staffordshire County Council for the procurement of electric buses to support and promote public transport.  </t>
  </si>
  <si>
    <t xml:space="preserve">The Public Events Safety Advisory Group Policy has been updated and approved via EDR. Website has been amended to incorporate additional advice and guidance for event organisers and social media will be used to promote. </t>
  </si>
  <si>
    <t xml:space="preserve">EDR completed to approve the procurement of a consultancy to deliver the works. </t>
  </si>
  <si>
    <t>Article drafted to be used for the E-business newsletter</t>
  </si>
  <si>
    <t xml:space="preserve">Report completed and due to be taken to CMT in Oct for approval in Nov. </t>
  </si>
  <si>
    <t>A pre launch site is currently undergoing testing before a live launch later in the Autumn.</t>
  </si>
  <si>
    <t>Grants are now being accessed by local operators.</t>
  </si>
  <si>
    <t>The Strategic Delivery Framework for Tourism in East Staffordshire will be considered for approval at Cabinet in October 2023.</t>
  </si>
  <si>
    <t xml:space="preserve">We continue to monitor and record attendances to create a baseline. </t>
  </si>
  <si>
    <t>Works have been started towards completing this objective with a review of current signposting and way marking signage around Burton upon Trent</t>
  </si>
  <si>
    <t>The project will launch a programme of live music events which will be hosted across Burton upon Trent by local musicians, bands and performers in November. These musicians have benefitted from a wide range of ongoing support including workshops and marketing.</t>
  </si>
  <si>
    <t>The service was awarded to Citizens Advice Mid Mercia, and the contract commenced on 3 October 2023.</t>
  </si>
  <si>
    <t>The Warm Spaces Grant programme was opened for applications w/c 16 October 2023.</t>
  </si>
  <si>
    <t>The Food Aid Fund was opened for applications w/c 16 October 2023.</t>
  </si>
  <si>
    <t>The matter was fully considered by the portfolio holder who was content with the current 'No First Night Out' provision which utilises hotels.</t>
  </si>
  <si>
    <t>The Community Kitchens Fund was opened for applications w/c 16 October 2023.</t>
  </si>
  <si>
    <t>Motion agreed at Full Council on 3 July 2023.</t>
  </si>
  <si>
    <t>Consultation on the revised strategy closes on 20 October 2023, with a Cabinet Report to follow.</t>
  </si>
  <si>
    <t>Officers have identified five sites for potential orchards and the introduction of wildlife corridors. These are Oxhay rugby fields, Vancouver Drive, Edge Hill park and Pennycroft Park. The fifth site is Heritage Park which is scheduled to be transferred to ESBC by the developer.</t>
  </si>
  <si>
    <t>New officer team are expanding volunteering opportunities and have forged strong links with Better Health Staffordshire. Officers are exploring the possibility  of co-working with Better Health Staffordshire on a "Gardening for Better Health" scheme that will encourage residents to grow, prepare and cook their own vegetables and herbs.</t>
  </si>
  <si>
    <t>Report has been deferred until December Cabinet.</t>
  </si>
  <si>
    <t>Business case outcomes have led to the commissioning of an independent consultancy to engage with the communities of East Staffordshire to help understand the preferred future use of the Market Hall.</t>
  </si>
  <si>
    <t>£6.696.596.89</t>
  </si>
  <si>
    <t>1.859m identified for potential w/off</t>
  </si>
  <si>
    <t>0.64% below target for 30/9</t>
  </si>
  <si>
    <t>£1,858.910.8</t>
  </si>
  <si>
    <t>There were 62 initial decisions over the period, with 43 total days from interview to decision resulting in an average of 0.69 days to initial decision.</t>
  </si>
  <si>
    <t>0.5 days</t>
  </si>
  <si>
    <t>There were 5 'key to key' void turnarounds during Q2, giving an average of 3.75 days void.</t>
  </si>
  <si>
    <t>2.4 days</t>
  </si>
  <si>
    <t>4 days</t>
  </si>
  <si>
    <t xml:space="preserve">The extraordinary Council meeting held on 2nd October 2023 was also livestreamed. 
Equipment has been procured to allow the Council to stream meetings moving forward. </t>
  </si>
  <si>
    <t xml:space="preserve">The Council approved constitution changes, also including the approach for public participation at scrutiny committees, at the full Council meeting on 3rd July 2023. 
Opportunity for public questions now forms part of all Scrutiny meeting agendas. </t>
  </si>
  <si>
    <t>It has been identified that many of our existing suppliers support development of staff through apprenticeships or trainee schemes as a significant element of their workforce strategy. 
In order to encourage future suppliers to recruit new apprentices Members  could consider revising the Procurement Policy at the next refresh to place  emphasis on this area.</t>
  </si>
  <si>
    <t>Review work is ongoing. 
Regarding the Quarry Site, Staffordshire FA have agreed to take up a 30 year lease to manage the site, with plans to include: 
 - ‘Good’ Standard football pitches
 - Full Size 3G pitch
 - Clubhouse/Community Facilities
 - Community Hub
 - Changing Rooms (Grassroots and NLS compliant)
 - Access Road
 - Car Park
The MTFS 2023/24 includes support for the Uttoxeter Sports Hub of £1.7m, including a contribution from Section 106 funding to help Staffordshire FA unlock additional funding from the Football Foundation. Further, the 2023/24 Corporate Plan has a target, TCD10 to ‘’Review outdoor sports provision in Uttoxeter, including the proposed Sports Hub and other potential sites’’ (March 2024 target date).
Regarding wider Uttoxeter sports provision, a brief was issued in September to potentially look into the feasibility of possible improvements at Pennycroft.</t>
  </si>
  <si>
    <t>Spend analysis underway to inform a Procurement Improvement Action Plan.</t>
  </si>
  <si>
    <t>The first copy of the business newsletter was issued in September 2023, with the next copy to be issued towards the end of October 2023. These are on track to be issued on a monthly basis.</t>
  </si>
  <si>
    <t>Timeline and plan produced and agreed with the Trust.</t>
  </si>
  <si>
    <t>Contractors appointed.</t>
  </si>
  <si>
    <t>Future direction agreed and will be further reported to Council, as required; brief for architects produced with Cabinet member and now out to open procurement. Internal officer meeting to discuss how the High Street Task Force work could link in with the Maltings development.</t>
  </si>
  <si>
    <t>Average 0.71  days</t>
  </si>
  <si>
    <t>Research undertaken.</t>
  </si>
  <si>
    <t>Topics agreed with Cabinet Member - Calendar invitations to be sent.</t>
  </si>
  <si>
    <t>The installation works have been completed in Uttoxeter and Burton excluding the below,
C9354, Uxbridge/Queen street – out of hours location, being upgraded out of hours week commencing 09.10.23. 
There is a power issue in Uttoxeter on x2 lighting columns within Uttoxeter cameras C9335, C9336, C9337 and C9338 will not be operational as these receive the network connectivity from radios from previous columns. Camera C9345 Asda Loading bay has no power currently. Work is being undertaken to rectify this.</t>
  </si>
  <si>
    <t>CRF relaunched alongside CCF in Q2.</t>
  </si>
  <si>
    <t>Achieved in Q1.</t>
  </si>
  <si>
    <t>At the regional awards ESBC scooped 15 gold and silver gilt awards.</t>
  </si>
  <si>
    <t>GD09 identifies the location for potential carbon capture and bio-diversity areas. Designs have been prepared and shared with the Climate Change Officer to assess the carbon capture capability.</t>
  </si>
  <si>
    <t>ESBC won gold for Winshill, Burton and Uttoxeter, with Uttoxeter coming away with the category winner award. ESBC also received a judges special recognition award for our innovative sustainable planting schemes with judges describing East Staffordshire as "leading the way".</t>
  </si>
  <si>
    <t>Assessment is complete and a report is being prepared for Cabinet in Qtr 3.</t>
  </si>
  <si>
    <t>Winter Performance (22/23) report presented to Cabinet in July.</t>
  </si>
  <si>
    <t>Consider the outcome of an independent HM Treasury Green Book compliant business case assessment on future options for the Market Hall</t>
  </si>
  <si>
    <t>To be considered by Development Plan Committee on 30/10/2023.</t>
  </si>
  <si>
    <t>3 training sessions carried out.</t>
  </si>
  <si>
    <t>Continuing to monitor performance with current resources and identifying potential gaps.</t>
  </si>
  <si>
    <t>Report considered and approved by Cabinet in September 2023.</t>
  </si>
  <si>
    <t>Fleet and Operations Manager continues to trial vehicles.</t>
  </si>
  <si>
    <t>Action plan currently being drafted.</t>
  </si>
  <si>
    <t>Timescales being reviewed for 22/23.</t>
  </si>
  <si>
    <t>Report completed and approved by Cabinet in August.</t>
  </si>
  <si>
    <t>No responses received for Quarter 2.</t>
  </si>
  <si>
    <t>Awaiting figures from FMU</t>
  </si>
  <si>
    <t>The 6 pop-up live events will be delivered across November, with the Burton Music Collective events being launched at the Brewhouse on 3 November with a performance by Riding the Low.</t>
  </si>
  <si>
    <t>Brewhouse on Tour events were delivered across the summer in Uttoxeter and Burton. The outdoor family events included performances, activities and events.</t>
  </si>
  <si>
    <t>Report completed and will be considered by Cabinet at their October 2023 meeting.</t>
  </si>
  <si>
    <t xml:space="preserve">Energy Efficiency Training completed by key EH staff. EDR completed and signed off. Suppliers identified for materials and awaiting quick call to secure a contractor to install the works. </t>
  </si>
  <si>
    <t xml:space="preserve">HUGS2 scheme has been launched through Staffordshire Warmer Homes in partnership with Staffordshire County Council and Community Home Solutions. This will target key households that are off gas with alternative heating sources including air source heat pumps and solar PV. </t>
  </si>
  <si>
    <t>Balance owed on one invoice £71,186.00 by Staffs PCC on which Mike Hovers has confirmed payment is pending from supplier</t>
  </si>
  <si>
    <t>1.19% above target for 30/9</t>
  </si>
  <si>
    <t xml:space="preserve">Staffordshire FA are in the process of collating information for this application to the Football Foundation, for example population, demographics, community information of Uttoxeter etc. to help demonstrate the need for the project and support the application. </t>
  </si>
  <si>
    <t>A review has been completed, with recommendations approved by Cabinet in September 2023.</t>
  </si>
  <si>
    <t>A pre-application advice application was submitted earlier in the year. A full application has been held back on account of changes to the approach to the High Street Project being considered and subsequently approved by Council in September.</t>
  </si>
  <si>
    <t>Fund has been launched, the first panel meeting has been held with the first successful applicant being awarded.</t>
  </si>
  <si>
    <t>Our First initiative was 19th July in Anglesey. Second initiative was 1st October 2023 in Shobnall. Businesses and licensing premises.</t>
  </si>
  <si>
    <t>In collaboration with Waste Management a trial of a micro vertical garden is to take place on the public toilets at Newton Road Winshill. Aside from public toilets there are few Council buildings that naturally lend themselves to vertical gardens. An alternative is to encourage climbing plants on structures. Opportunities may exist for the installation of vertical gardens on the Leisure centres. This will require the consent of Everyone Active and the commissioning of a specialist consultant.</t>
  </si>
  <si>
    <t>311k identified for potential w/off</t>
  </si>
  <si>
    <t>Dates are set for 5 engagement events with the first one taking place on Tuesday 17 October in Burton at Café Zen.  Fliers produced to promote the event which have been circulated to all town centre businesses; one to one meetings held with business and Business Development Officer, Eventbrite link set up.</t>
  </si>
  <si>
    <t>The implementation of a Citizens Jury has been included in the draft Communications, Engagement and Consultation Strategy due to be presented to the October Cabinet meeting, ahead of the specific details of the approach being modelled moving forward.</t>
  </si>
  <si>
    <t>A refreshed Corporate Website went live in August 2023.</t>
  </si>
  <si>
    <t>The works undertaken by the Council were completed earlier in the summer, however the unit has not launched as of the end of September due to the relocation of items by the National Brewery Trust still being underway.</t>
  </si>
  <si>
    <t>44 out of 62 removed within 5 days (71%). Progress to be reviewed in December, baseline to be set in March.</t>
  </si>
  <si>
    <t>Rather than creating our own Fair Employment Charter we are exlporing the possibility of actively engaging in the larger Midlands region Good Work Charter. This has the potential to create greater opportunities for the Borough’s employers.</t>
  </si>
  <si>
    <t>We received a decision notice from the Planning Officer 12.10.23. There are no pre-commencement conditions, therefore work to procure contractors can now begin.</t>
  </si>
  <si>
    <t>Target proposed for deletion to reflect Cabinet decision  taken in September to conduct a consultation exercise.</t>
  </si>
  <si>
    <t>Survey of Members undertaken.</t>
  </si>
  <si>
    <t>122.24 kg - estimated as not all data received
Latest published quartile data (2021/22) for English district authorities shows top quartile as 421kg</t>
  </si>
  <si>
    <t>47.48% - estimated as not all data received
Latest published quartile data (2021/22) for English district authorities shows top quartile as 51.3%</t>
  </si>
  <si>
    <t>An online form to allow public questions to be submitted to Cabinet Members went live in September 2023. This webpage also allows for face to face sessions to be coordinated with the Cabinet Members.</t>
  </si>
  <si>
    <t>Following the Council decision in September 2023 regarding the future development at the High Street project, this development proposal is currently being considered as part of the wider scheme and so is not being taken forward to implementation at this time.</t>
  </si>
  <si>
    <t>100%
9 Major apps received all within time
Latest published quartile data (2022/23) for English district authorities shows top quartile as 95%</t>
  </si>
  <si>
    <t>96%
51 Minor apps received 49 within time
Latest published quartile data (2022/23) for English district authorities shows top quartile as 91%</t>
  </si>
  <si>
    <t>96%
127 Other apps received 122 within time
Latest published quartile data (2022/23) for English district authorities shows top quartile as 94%</t>
  </si>
  <si>
    <t>Greg Osborne</t>
  </si>
  <si>
    <t>James Hopwood</t>
  </si>
  <si>
    <t>Mark Rizk</t>
  </si>
  <si>
    <t>Timescales reviewed for 22/23 and to be reported for Scrutiny</t>
  </si>
  <si>
    <t xml:space="preserve">Review of progress reported in December and approved by Cabinet. Ongoing delivery through energy efficiency measures being delivered through Stafffordshire Warmer Homes for ECO4 and HUGS 2. </t>
  </si>
  <si>
    <t xml:space="preserve">Review of progress reported in December and approved by Cabinet. Local cycle firms have been engaged however we have had a poor response and lack of interest from cycle companies. This has been highlighted in a briefing report. </t>
  </si>
  <si>
    <t xml:space="preserve">Measures have begun to be implemented in properties, mainly LED bulbs, electric blankets and radiator reflector panels to date. </t>
  </si>
  <si>
    <t>Action plan being drafted for approval in March prior to consultation</t>
  </si>
  <si>
    <t xml:space="preserve">Article for e-newsletter completed and working with waste management for further options </t>
  </si>
  <si>
    <t xml:space="preserve">Report completed and approved by Cabinet in November </t>
  </si>
  <si>
    <t>Two undertaken so far with another planned first week of January 2024 in Anglesey and the final initiatitve in March 2024.</t>
  </si>
  <si>
    <t>Report with recommendations approved by Cabinet in Oct-23.</t>
  </si>
  <si>
    <t>Report with recommendations approved by Cabinet in Nov-23</t>
  </si>
  <si>
    <t>Completed report and EDR October 2023. Contacted Midlands Engine via website link November 2023; and followed up with Midlands ACAS in December 2023 to progress as Aspire status to Midlands Good Work Charter. Invited to ACAS  MGWC meeting Feb.</t>
  </si>
  <si>
    <t>99.97%</t>
  </si>
  <si>
    <t>100%
7 Major apps received all within time
Latest published quartile data (2022/23) for English district authorities shows top quartile as 95%</t>
  </si>
  <si>
    <t>91%
47 Minor apps received 43 within time
Latest published quartile data (2022/23) for English district authorities shows top quartile as 91%</t>
  </si>
  <si>
    <t>90%
137 Other apps received 123 within time
Latest published quartile data (2022/23) for English district authorities shows top quartile as 94%</t>
  </si>
  <si>
    <t>No responses received for Quarter 3.</t>
  </si>
  <si>
    <t>The College project is completed with the launch planned for March 2024. The canal project will be delivered in three phases with the first phase being from Branston Water Park to the outskirts of Burton which has been completed and the next phase undertaken. The cycle way on station street is now completed.</t>
  </si>
  <si>
    <t>Five businesses have been successful with their bids to the Boosting Business Programme with a further 3 to go to the January panel.</t>
  </si>
  <si>
    <t xml:space="preserve">Business Engagement Events have been held at Café Zen in Burton, the Leek Building Society in Uttoxeter and Queen Street Community Centre in Burton. The next one is planned for 17 January at Malone Group on Centrum 100. </t>
  </si>
  <si>
    <t>Approved in Quarter 2</t>
  </si>
  <si>
    <t>Completed in Quarter 2</t>
  </si>
  <si>
    <t>Agreed in Quarter 2</t>
  </si>
  <si>
    <t>Sarner, specialists in creatign visitor exepreinces,  have been commissioned to undertake work to develop the visitor experience for Bass House. As part of this they will be engaging stakeholders to develop the plans.</t>
  </si>
  <si>
    <t>377.85kg - estimated</t>
  </si>
  <si>
    <t>507kg</t>
  </si>
  <si>
    <t>44.45% - estimated</t>
  </si>
  <si>
    <t>41%</t>
  </si>
  <si>
    <t>Average 1.00 day</t>
  </si>
  <si>
    <t>2.32 days</t>
  </si>
  <si>
    <t>NDR has dedicated phone line, separation of officer requirements to enable concentration on the recovery of all years debts.</t>
  </si>
  <si>
    <t>With the other changes and the move towards a digital presence we expect the recovery to gradually improve. Shall introduce a push on DD take up during the annual billing process. Currently at 89.45%</t>
  </si>
  <si>
    <t>Quarter 3
(October - December 2023)</t>
  </si>
  <si>
    <t>Year to date
(April - Dec 2023)</t>
  </si>
  <si>
    <t>QUARTER 3: October - December 2023</t>
  </si>
  <si>
    <t>Quarter 4
(January - March 2024)</t>
  </si>
  <si>
    <t>QUARTER 4: January - March 2024</t>
  </si>
  <si>
    <t xml:space="preserve">Investigation into the pre-app service undertaken as part of a larger project looking at resources and the new requirements as part of the planning increase legislation. Pre-application service to be reintroduced from April following a reassessment of the tiers of advice to be offered and ensure costs are fully recovered . </t>
  </si>
  <si>
    <t xml:space="preserve">A review of the Council's Communications, Engagement and Consultation Strategy has been completed and was approved at the Cabinet meeting in October 2023.  </t>
  </si>
  <si>
    <t>The implementation of a Citizens Jury has been included in the draft Communications, Engagement and Consultation Strategy approved at the October Cabinet meeting, ahead of the specific details of the approach being modelled moving forward. A model is being researched and discussions have been held with other ocal authorities that have undertaken similar exercises to all the Council to consider an approach and the budget for the necessary costs. A report is due to come forward in March 2024 to introduce an approach for delivery in 2024/25.</t>
  </si>
  <si>
    <t xml:space="preserve">The Better Health Staffordshire East Staffordshire group continue to met on a quarterly basis. The priority theme of Food has been worked on by a specific task and finish group in order to hold a themed event relating to Food. At the event 'Food for Thought', local stakeholders will be working together to identify actions that enable healthy and nutritious food to be accessible for the people of East Staffordshire. </t>
  </si>
  <si>
    <t xml:space="preserve">Quarterly Performance information presented to Corporate Management Team, Pre-Cabinet, LAG / LOAG, Cabinet during November / December 2023 and at the 3 Scrutiny Committee meetings held in December 2023 / January 2024. </t>
  </si>
  <si>
    <t xml:space="preserve">Consultants have been engaged and work underway on indoor and outdoor sports facility provision. Consultant's reports due in early 2024. </t>
  </si>
  <si>
    <t>A new Strategic Delivery Framework for Tourism in East Staffordshire was approved by cabinet in October 2024.</t>
  </si>
  <si>
    <t>Baseline monitoring is ongoing throughout 2023/24.</t>
  </si>
  <si>
    <t>The review of way marking around Burton upon Trent has commenced.</t>
  </si>
  <si>
    <t>New website were launched in December 2023.</t>
  </si>
  <si>
    <t>Ten local free food providers are being supported for a period of 6 months to enable them to purchase the stocks they need.</t>
  </si>
  <si>
    <t>Two applicants have been grant funding, with a  third applicant being actively considered.</t>
  </si>
  <si>
    <t>Refreshed Strategy approved at Cabinet in December 2023.</t>
  </si>
  <si>
    <t xml:space="preserve">Update provided in the November Member Briefing. </t>
  </si>
  <si>
    <t>0.4 days</t>
  </si>
  <si>
    <t>There were 5 'key to key' instances across 4 properties giving a total of 8 days and an average of 1.6 days.</t>
  </si>
  <si>
    <t>2.1 days</t>
  </si>
  <si>
    <t>Sixteen Warm Spaces have been awarded grant funding and are in operation for the winter period.</t>
  </si>
  <si>
    <t>Achieved Quarter 2.</t>
  </si>
  <si>
    <t>Report produced to be considered in January by CMT for February Cabinet.</t>
  </si>
  <si>
    <t>There were 98 initial decisions over the period, with 20 days from interview to decision resulting in an average of 0.2 days to initial decision.</t>
  </si>
  <si>
    <t>Two properties have been excluded form the calculation by exception; one property was held for a severly disabled person pending an Adult Social Care Assessment. A second property is excluded because it was subject due to decant of the occupants following water ingress from the flat above.</t>
  </si>
  <si>
    <t>The review of the scheme has been completed and no change was advised - this has been agreed with both the Leader's Advsiory Group and Leader of the Opposition's Advisory Group.</t>
  </si>
  <si>
    <t xml:space="preserve">Present year to date figure is 4.29 days to process new claims </t>
  </si>
  <si>
    <t>Increase in recovery resource, training delivered, improved software access (tracing etc.) to contain propensity to pay report. New policies being submitted for approval to empower the recovery team. The arrears are being examined and a more accurate approach to be taken on designation of arrears and recoverable figures.</t>
  </si>
  <si>
    <t>Improvement in tracing software to increase the capability of finding and chasing debtors.</t>
  </si>
  <si>
    <t>Bringing in new software (previously purchased but not brought to fruition) and assigned a new resource with specialist knowledge in this area. A strategy of approach and automated recovery on DWP claimants should increase recovery statistics. Greater impact in February/March.</t>
  </si>
  <si>
    <t>Improvements of the access for customers to the system/department has been commenced. The service is moving towards a higher digitial delivery, with smart forms and on-line service 24/7 with improved and increased information on each step of the benefit claimants journey. This may extend past Q4 before fully in place.</t>
  </si>
  <si>
    <t>89.45%</t>
  </si>
  <si>
    <t>Designated phone line and improved system will impact 2024/25 year - present projection for this year means we will hit target within 2 financial years, currently at 86.18%</t>
  </si>
  <si>
    <t>86.18%</t>
  </si>
  <si>
    <t>Completed in Quarter 2.</t>
  </si>
  <si>
    <t>Completed in Quarter 1.</t>
  </si>
  <si>
    <t>Review work is ongoing. 
Regarding the Quarry Site, Staffordshire FA have agreed to take up a 30 year lease to manage the site, with plans to include: 
 - ‘Good’ Standard football pitches
 - Full Size 3G pitch
 - Clubhouse/Community Facilities
 - Community Hub
 - Changing Rooms (Grassroots and NLS compliant)
 - Access Road
 - Car Park
The MTFS 2023/24 includes support for the Uttoxeter Sports Hub of £1.7m, including a contribution from Section 106 funding to help Staffordshire FA unlock additional funding from the Football Foundation. Further, the 2023/24 Corporate Plan has a target, TCD10 to ‘’Review outdoor sports provision in Uttoxeter, including the proposed Sports Hub and other potential sites’’ (March 2024 target date).
Regarding wider Uttoxeter sports provision, a brief was issued in September to potentially look into the feasibility of possible improvements at Pennycroft. The consultant's report is expected in early 2024.</t>
  </si>
  <si>
    <t>The first copy of the business newsletter was issued in September 2023, and is on track for a minimum of 6 newsletters to be delivered in 2023/24.</t>
  </si>
  <si>
    <t>A Procurement Improvement Action Plan was collated based on spend analysis and approved by cabinet in November 2023.</t>
  </si>
  <si>
    <t xml:space="preserve">The Member Induction programme was completed at the end of September 2023. Upon completion of the Programme a survey was issued to all Members for feedback to be provided throughout October. Outcomes of the review have been communicated to all Members via the Intranet and Member Briefing. </t>
  </si>
  <si>
    <t>Target approved for deletion as part of Q2 performance report.</t>
  </si>
  <si>
    <t>2</t>
  </si>
  <si>
    <t>4</t>
  </si>
  <si>
    <t>The taxi policy is now out for consultation which concludes 2nd February 2024. The results will be put before the licensing committee with a view to full council on the 18th March 2024.</t>
  </si>
  <si>
    <t>A report setting out the steps required to insource council services  was considerd by Pre Cabinet in October.</t>
  </si>
  <si>
    <t>A report reviewing progress towards the Green New Deal targets was considered by Cabinet in December. 
The Newton Road trial is to continue as part of the wider "In Bloom" and It's Your Neighbourhood Park entries. Changing rooms present another opportunity, but are subject to permission from Everyone Active. Vertical and rooftop spaces to be rolled in 24/25 as part of plans to "wild existing parks and open spaces.</t>
  </si>
  <si>
    <t xml:space="preserve">A report reviewing progress towards the Green New Deal targets was considered by Cabinet in December. 
Identified sites have now been assessed with geographical context and ground conditions placing restrictions on what can and cannot be introduced. Planting schemes and designs to be worked up in quarter 4. </t>
  </si>
  <si>
    <t>A report reviewing progress towards the Green New Deal targets was considered by Cabinet in December. (See GD09)</t>
  </si>
  <si>
    <t>Report considered by Cabinet in December 2023.</t>
  </si>
  <si>
    <t>Opportunities for volunteering now include: Horticulture Centre- Social prescribing (Tuesdays) general volunteering opportunities (Wednesday &amp; Thursday). Work placements (twice a week). Go Garden- general volunteering (Wednesday- with ambitions to expand into a Monday in the Spring).
We have also established a new group at the Greenhouse on Wednesdays. We also have work experience students two days per week at the Greenhouse.
We currently have a regular volunteer group at Go Garden on a Wednesday but are currently promoting additional sessions on Mondays and Wednesdays which will start in spring.</t>
  </si>
  <si>
    <t>Completed Quarter 2.</t>
  </si>
  <si>
    <t>EDR 112/24 prepared setting out changes made.</t>
  </si>
  <si>
    <t xml:space="preserve">A report reviewing progress towards the Green New Deal targets was considered by Cabinet in December. 
Efficiency standards will continue to be monitored and reported to Development Plan Committee and considered as part of any Local Plan Review. At this stage it is useful to note the current consultation 'The Future Homes and Buildings Standards' which closes on 6th March. </t>
  </si>
  <si>
    <t xml:space="preserve"> </t>
  </si>
  <si>
    <t>As at December planning committee members have received 9 dedicated training sessions.</t>
  </si>
  <si>
    <t>1 all member briefing session delivered in December.</t>
  </si>
  <si>
    <t>Development Plan Committee concluded on the review in October.</t>
  </si>
  <si>
    <t xml:space="preserve">Achieved Quarter 1. </t>
  </si>
  <si>
    <t xml:space="preserve">https://www.brewhouse.co.uk </t>
  </si>
  <si>
    <t>A report reviewing progress towards tackling Envirocrime was considered by Cabinet in December and the purchase of a mobile fly tipping removal vehicle will be considered within the annual review of the 24/25 MTFS.</t>
  </si>
  <si>
    <t xml:space="preserve">A report reviewing progress towards tackling Envirocrime was considered by Cabinet in December. Monitoring of removals will continue to be recorded and reported through the Corporate Plan and used to set a target for 2024/25. </t>
  </si>
  <si>
    <t>0%</t>
  </si>
  <si>
    <t>Surveys carried out Aug - Nov 23</t>
  </si>
  <si>
    <t>Achieved in Q2.</t>
  </si>
  <si>
    <t>129.66kg (estimated as not all data received)</t>
  </si>
  <si>
    <t>37.79% (estimated as not all data received)</t>
  </si>
  <si>
    <t>Council's Operations and Fleet Manager has scheduled in demonstration vehicles for Q4.</t>
  </si>
  <si>
    <t>Report currently being drafted with options appaisal. Due to be considered by Cabinet in March-24.</t>
  </si>
  <si>
    <t>Investigating options for Solar PV installation on coucil buildings.</t>
  </si>
  <si>
    <t>Review of progress reported in December and approved by Cabinet. Supported two Electric Bus bids in partnership with Staffordshire County Council. Ongoing support with the bus service improvement plan.</t>
  </si>
  <si>
    <t>Completed Q2.</t>
  </si>
  <si>
    <t>EDR approved and contract to be signed. Arranging dates for works to be started.</t>
  </si>
  <si>
    <t>Lloyd Haynes</t>
  </si>
  <si>
    <t>Preparations for a revised MTFS are underway and due to be considered at Full Council in February.</t>
  </si>
  <si>
    <t>Due to be considered at Full Council in February.</t>
  </si>
  <si>
    <t>A report reviewing progress towards tackling envirocrime was considered by Cabinet in December. 
During Quarter 3 there were 8 mobile cameras operating in the Borough (5 new deployments and 3 continuing from Q2). So far this year (as of 31st December) the cameras have been used to cover 17 locations around the Borough.</t>
  </si>
  <si>
    <t>17</t>
  </si>
  <si>
    <t>81% (120/149 incidents)</t>
  </si>
  <si>
    <t xml:space="preserve">The Burton Music Collective live events were successfully delivered across November, with the majority of the events achieving capacity audiences. </t>
  </si>
  <si>
    <t>18.01.24 = 96.13%</t>
  </si>
  <si>
    <t>18.01.24 = 98.30%</t>
  </si>
  <si>
    <t>This year there have been 12 deployments up to 30th September 2023 (NB this was incorrectly reported in the Q2 report but figures have now been corrected)</t>
  </si>
  <si>
    <t>Chief Financial S151 Officer</t>
  </si>
  <si>
    <t xml:space="preserve">Chief Financial S151 Officer 
&amp; Legal and Regulatory Services </t>
  </si>
  <si>
    <t>Corporate &amp; Environment Services</t>
  </si>
  <si>
    <t>Legal &amp; Regulatory Services 
&amp; Corporate &amp; Environment Services</t>
  </si>
  <si>
    <t>Legal &amp; Regulatory Services</t>
  </si>
  <si>
    <t>£2.872M</t>
  </si>
  <si>
    <t>£1.525M</t>
  </si>
  <si>
    <t>£269K</t>
  </si>
  <si>
    <t>93%</t>
  </si>
  <si>
    <t>The subsidy claim for 2022/23 stated we are well below the threshold of the LA Error allowances. This is actually an area we could address to maximise revenue for the authority.</t>
  </si>
  <si>
    <t>89%</t>
  </si>
  <si>
    <t>64%</t>
  </si>
  <si>
    <t>The Regeneration hub has now been completed and is open for members of the public to access. Works on the archive centre were completed ahead of this deadline, however the transfer of materials is an ongoing process due to the volume and perishability of the items in question.</t>
  </si>
  <si>
    <t>Further talks have taken place with Staffordshire Wildlife Trust to develop plans for the Visitor Centre, which is now being taken forward in the 2024/25 Corporate Plan.</t>
  </si>
  <si>
    <t xml:space="preserve">The specification of works for the Brewhouse Roof has been completed and procurement works are ongoing. At this time, a programme of physical works has not yet been agreed, but will be confirmed in Quarter 4 by the project team. </t>
  </si>
  <si>
    <t>Out of the 44 cameras which were upgraded, 4 await connection. Electrical testing, structural and equipment applications have been submitted and are being processed for these remaining cameras.</t>
  </si>
  <si>
    <t>Members considered the report at the December 2023 Cabinet with the recommendations being approved. This key decision was subsequently called-in for discussion at the Scrutiny (Value for Money Council) Committee held on 17th January 2024. The Committee voted to allow the decision to stand and the recommendations will now be implemented.</t>
  </si>
  <si>
    <t>Ensure fly-tipping is removed as quickly as possible (within 5 days of receipt of notice from CCE team) and disposed of in an environmentally friendly way
*Target refers to fly-tipping within the public realm</t>
  </si>
  <si>
    <t>Helen Bacon</t>
  </si>
  <si>
    <t>Approved by Full Council in February 2024</t>
  </si>
  <si>
    <t xml:space="preserve"> Finance session delivered as part of member induction programme, 'the role of audit committee' to Audit Committee in June 2023, 'the role of internal audit' to Audit Committee in June 2023, 'the role of external audit' to Audit Committee in September 2023</t>
  </si>
  <si>
    <t>4 sessions delivered across the year</t>
  </si>
  <si>
    <t>The Q4 figures are 2.52 days CoCs and 3.89 days for New claims.
The inal year to date figures are 2.47 and 4.15 respectively.</t>
  </si>
  <si>
    <t xml:space="preserve">Details of the training sessions are:                                                          May – Induction general overview 
June – Planning Conditions 
July – Heritage assets 
August – Staffordshire Highways 
October – Design 
November – Refusal Reasons 
December – National Forest  
February – BNG 
March – GTAA 
</t>
  </si>
  <si>
    <t>Electric refuse vehcile trialed on a local round. The vehcile perfomred well, although reservations remain regarding the operational range of these vehicles if depolyed to more rural areas.</t>
  </si>
  <si>
    <t xml:space="preserve">Review completed and presented to both CMT and Pre-Cabinet. Decision taken to extend the operation of the existing fleet of mechanical pavemenent sweepers for a further 12-months minimimum. </t>
  </si>
  <si>
    <t>Fully achieved</t>
  </si>
  <si>
    <t>Baseline monitoring has continued throughout the year and data is now being incororated into the borough and wider county visitor ecomony STEAM reporting process.</t>
  </si>
  <si>
    <t>A compresenive review of various forms of way marking in and around Burton upon Trent has been completed. The results of this will be shared with members via a summary report, including the findings and suggested short, medium and long term improvements.</t>
  </si>
  <si>
    <t xml:space="preserve">Sarmer have worked in partnership with key stakeholders to develop the propoasls for the museum/ visitor experience for the High Street Project.  Their plans have been considered by councillors invovled in the scheme and will be formally considered in June by pre-cabinet. </t>
  </si>
  <si>
    <t>Surveys carried out Dec 23 - Mar 24 0%</t>
  </si>
  <si>
    <t>125.96kg (estimated as not all data received)</t>
  </si>
  <si>
    <t>35.33% (estimated as not all data received)</t>
  </si>
  <si>
    <t>503.40kg (estimated)</t>
  </si>
  <si>
    <t>42.56% (estimated)</t>
  </si>
  <si>
    <t>100%
11 Major apps received all within time</t>
  </si>
  <si>
    <t>88%
58 Minor apps received 51 received within time</t>
  </si>
  <si>
    <t>86%
117 Other apps received 101 within time</t>
  </si>
  <si>
    <t>No responses received for Quarter 4.</t>
  </si>
  <si>
    <t>Currently preparing to procure a contract for roof repair works at the Brewhouse. This is a works contract, with multiple phases to be completed. Initially we will only be completing the phases that can be financially achieved within budget. Once the works has gone out to tender an updated project timeline will be provided outlining key project milestones.</t>
  </si>
  <si>
    <t>Achieved in Quarter 2</t>
  </si>
  <si>
    <t>Achieved in Quarter 3</t>
  </si>
  <si>
    <t>Outturn figure needs to be checked against the LG data when available.</t>
  </si>
  <si>
    <t xml:space="preserve">Community Energy Options report presented and the progression of a Solar Community Energy Project has been approved by Cabinet in March. </t>
  </si>
  <si>
    <t xml:space="preserve">25 properties have received energy efficiency measures at an average cost of £70 per property. A budget carry forward has been requested to continue delivery in 24/25 </t>
  </si>
  <si>
    <t xml:space="preserve">Revised Air Quality Action plan and Strategy presented to Cabinet and recommendations made for the revocation of the smaller AQMA which was approved in March. </t>
  </si>
  <si>
    <t xml:space="preserve">Timescales reviewed for 22/23 and reported to Scrutiny. </t>
  </si>
  <si>
    <t xml:space="preserve">Energy audits have been completed and a report provided for recommendation energy efficiency measures to be taken forward to form a heat decarbonisation plan </t>
  </si>
  <si>
    <t>This has been incorporated in to the ongoing climate change communicaions plans</t>
  </si>
  <si>
    <t>Three Community Kitchens have been opened, one of which operates from existing council facilities.</t>
  </si>
  <si>
    <t xml:space="preserve">The funding opportunity was actively promoted to community groups, including those operating from existing council facilities, for circa 4 months. </t>
  </si>
  <si>
    <t>An Empty Homes update identifying the reduction was included in Member Briefing Issue 765 - Friday 2 Feb 2024.</t>
  </si>
  <si>
    <t>There were 124 initial decisions over the period, with 71 days from interview to decision resulting in an average of 0.57 days to initial decision.</t>
  </si>
  <si>
    <t>There has been 9 'key to key' instances across 7 properties, giving a total of 37 days and an average of 4.1 working days void.</t>
  </si>
  <si>
    <t>2.6 days</t>
  </si>
  <si>
    <t>56 out of 67 removed within 5 days (84%)</t>
  </si>
  <si>
    <t>Acheived - prior year outstanding debt £2,470,549.62. Untraceable debts wll be passed to Jacobs enforcement agency to undate contact details against national database and provide a propensity to pay report. They will then be instructed to recoverthese debts on a non-enforceable (non-bailiff) approach. This has a potential to return 15% of the remaining debt over 2 years old.</t>
  </si>
  <si>
    <t>98.85% in year (actuals 2023/24 Ctax/NDR collection tables)</t>
  </si>
  <si>
    <t>In year collection is 96.34% (actuals 2023/24 Ctax/NDR collection tables)</t>
  </si>
  <si>
    <t>Former years arrears that are recoverable total £882,823.10 from nr7060 report at year end actuals.</t>
  </si>
  <si>
    <t>86.71% - this was 93.4% until the end of February but due to a glitch in the Capita system which creates conflicts with DWP data we were not able to secure some of the arrangements in the financial year - the arrangements are now in place.</t>
  </si>
  <si>
    <t>We are in the process of migrating to a new approach to recovery of these debts, with greater emphisis on automated recovery. Whilst this is being rolled out and tested we are finding issues which is skewing the reporting recovered figures. For example debts are sent to DWP for recovery - show are collected immediately - but the values of money received does not match. The process for recording these incidents is being tested alongside the rol out.</t>
  </si>
  <si>
    <t>Completed in Quarter 3.</t>
  </si>
  <si>
    <t>Completed in Quarter 3</t>
  </si>
  <si>
    <t xml:space="preserve">The implementation of a Citizens Jury has been included in the draft Communications, Engagement and Consultation Strategy approved at the October Cabinet meeting, ahead of the specific details of the approach being modelled moving forward. 
A report introducing the proposed model was noted by Cabinet in March 2024 in line with the Corporate Plan target, </t>
  </si>
  <si>
    <t xml:space="preserve">6 Business Engagement events have been held: Café Zen Burton, the Leek Building Society Uttoxeter, Queen Street Community Centre Burton, Malone Group Offices Centrum 100 and Tutbury Tea Rooms </t>
  </si>
  <si>
    <t xml:space="preserve">The College have completed their project and the Centre was officially launced in March as planned. Work on the canal project began in November starting in a Northerly direction from Branston.  No sigficiant issues. have been identified. </t>
  </si>
  <si>
    <t xml:space="preserve">We have now relocated the Visitor Centre so it is no longer attached to the Water Tower. We have received a report detaiing the current layputs which have been developed closely with ESBC and SWT.  </t>
  </si>
  <si>
    <t xml:space="preserve">This programme has receieved a large number of applications.  Monthly panel meetings have been held since the launch with the maximum 4 bids reviewed at most meetings highlighting the popularity of the scheme.  </t>
  </si>
  <si>
    <t xml:space="preserve"> We continue to work in preparation of accessing external funding with the development of the hIgh Street campus. We have continued to work to secure external funding incluidng  securing funds from LEP legacy funding. We are also working with Amion to submit a Heritage Lottery Fund bid.</t>
  </si>
  <si>
    <t>If a suitable topic arises where the use of a Citizens’ Jury would be beneficial, this model outlined would be implemented as per follow-on target included in the 2024/25 Corporate Plan (ILD13)</t>
  </si>
  <si>
    <t>A review of outdoor sports provision in Uttoxeter, including the proposed Sports Hub and other potential outdoor sports sites, has been undertaken in line with the Corporate Plan Target and presented to Cabinet in March 2024, 5.7.1. This report indicates that across Uttoxeter there are opportunities to improve and develop the existing facilities in place for outdoor sports provision with a range of receommendations being approved.</t>
  </si>
  <si>
    <t>A report detailing the "Review of Updated Playing Pitch Strategy and Built Indoor Facilities Strategy 2023/24" was presented to Cabinet in March 2024, with the recommendations (to update the Open Spaces and Playing Pitches Supplementary Planning  Document and Planning Obligations Supplementary Planning Document; and to use the reports to inform the annual review of the Local Plan and forward on at an appropriate time to the Development Plan Committee) being approved.</t>
  </si>
  <si>
    <t>Quarterly Performance information presented to Corporate Management Team, Pre-Cabinet, LAG / LOAG, Cabinet during February / March and at the corresponding Scrutiny Committee meetings</t>
  </si>
  <si>
    <t xml:space="preserve">The Better Health Staffordshire East Staffordshire group continue to met on a quarterly basis. Three key themes have been identified within East Staffordshire, all with igh-level actions (Food, Physical Activity, Environment). 
East Staffordshire Partnership meetings are held quarterly, chaired by the Council’s Corporate 
and Commercial Manager. As a result, there is now a whole range of projects being developed, During February, East Staffordshire held its first ‘live’ Food themed Event at Meadowside Leisure Centre, titled Food For Thought. Attendees included Borough Councillors, local stakeholders, community based organisations and projects, all there to discuss and share their views on accessible Healthy Food provision within East Staffordshire. </t>
  </si>
  <si>
    <t xml:space="preserve">Unable to provide a percentage within year due to system reporting capabilties. However the value recovered in Q4 was up to £240,503.49 and increase from Q3 value of £125,096.66. This is due to the capacity to recover via the DWP (direct benefit recovery) and write off of unrecoverable debts. We are m,arking this as acheived based on this swell of receovery methods and returns seen as a result.
</t>
  </si>
  <si>
    <t>Parks Development update provided in Members briefing March 2024.</t>
  </si>
  <si>
    <t>Summary of contractor performance provided in the Parks Development Plan update</t>
  </si>
  <si>
    <t>All deployments completed. A report was provided in November 2023</t>
  </si>
  <si>
    <t>4 initiatives underaken in the Shobnall and Angelsey Wards</t>
  </si>
  <si>
    <t>9 days avarage time to pay creditors</t>
  </si>
  <si>
    <t>Average time to pay creditors target of 10 days achieved. A report is being developed to measure the number of Pos that are in place against invoices.  Should be available by 27/04.</t>
  </si>
  <si>
    <t>Completed in Quarter Two.</t>
  </si>
  <si>
    <t>Completed in Quarter Three.</t>
  </si>
  <si>
    <t>Completed in Quarter Two.J9:O9+O7</t>
  </si>
  <si>
    <t>Completed in Quarter two</t>
  </si>
  <si>
    <t>Completed in quarter three</t>
  </si>
  <si>
    <t>Completed in quarter one</t>
  </si>
  <si>
    <t>Achieved Quarter 3</t>
  </si>
  <si>
    <t>Update report due in Janurary Q4</t>
  </si>
  <si>
    <t>Achieved Quarter 1</t>
  </si>
  <si>
    <t>Completed in quarter 3</t>
  </si>
  <si>
    <t>In relation to DFGs the timescales have reduced from 240 in 22/23 to 214 in 23/24 for cases that have been assessed by our own OT provider and works undertaken by our own contractors.</t>
  </si>
  <si>
    <t>6 business news letters distributed relating to news relevant to the 2023/24 financial year</t>
  </si>
  <si>
    <t>minimum of 6 business letters scheduled for 2024/25 financial year</t>
  </si>
  <si>
    <t>Overall 93%
210 Minor apps received 196 within time
To achieve top quartile based on 2022/23 figures, performance would need to be 95% or above</t>
  </si>
  <si>
    <t>Overall 92%
517 Other apps received 474 within time
To achieve top quartile based on 2022/23 figures, performance would need to be 96% or above</t>
  </si>
  <si>
    <t>100%
39 Major apps received all within time
To achieve top quartile based on 2022/23 figures, performance would need to be 100%.</t>
  </si>
  <si>
    <t>Update due end of WC 06/05</t>
  </si>
  <si>
    <t>Others</t>
  </si>
  <si>
    <t>All cameras have been installed. However cameras in the High Street and The Market Place, Uttoxeter, are not connected. Given the siting of these cameras further applications have been required: structural and electrical tests alongside certificates. Officers are in regular contact with Eon to continue progressing this.</t>
  </si>
  <si>
    <t>3.28 days</t>
  </si>
  <si>
    <t>Completed in Quarter four</t>
  </si>
  <si>
    <t xml:space="preserve">The National Archive Centre Opened in October 2023 after work was completed in July 2023. The delay was caused by the transfer of the collection taking longer than anticipated, leading to a delay in the set-up of the National Archive Centre
</t>
  </si>
  <si>
    <t>The Temporary National Archive Centre and Regen hub is now open as of October 2023 after work was completed in July 2023. The delay was caused by the transfer of the collection taking longer than anticipated, leading to a delay in the set-up of the National Archive Centre. Members of the Enterprise Team man the hub on three mornings a week. There is usually a good flow of the public with interest across a range of areas but particularly with the High Street Project.  There is information provided from the Brew House showcasing their upcoming events, and details on the other Towns Fund projects notably BSDC and the Canal and River Trust. The National Brewery Heritage Trust are also now based at the Hub.</t>
  </si>
  <si>
    <t xml:space="preserve">Additional briefing took place on 15th April, which had initially also been planned for the 2023-24 year but was not possible due to finding a suitable date within the committee timetable when the majority of members would be available. </t>
  </si>
  <si>
    <t xml:space="preserve">Two briefings have been held; on 10th July 2023 and on 7th December 2023. </t>
  </si>
  <si>
    <t>quartile positions based on 2022/23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</si>
</sst>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mmm\ yyyy"/>
    <numFmt numFmtId="165" formatCode="&quot;£&quot;#,##0.00"/>
    <numFmt numFmtId="166" formatCode="mmmm\ yyyy"/>
  </numFmts>
  <fonts count="65">
    <font>
      <sz val="11"/>
      <color theme="1"/>
      <name val="Calibri"/>
      <family val="2"/>
      <scheme val="minor"/>
    </font>
    <font>
      <sz val="12"/>
      <color theme="1"/>
      <name val="Arial"/>
      <family val="2"/>
    </font>
    <font>
      <sz val="12"/>
      <color theme="1"/>
      <name val="Arial"/>
      <family val="2"/>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i/>
      <sz val="12"/>
      <color rgb="FF000000"/>
      <name val="Arial"/>
      <family val="2"/>
    </font>
    <font>
      <sz val="12"/>
      <color rgb="FFFF0000"/>
      <name val="Arial"/>
      <family val="2"/>
    </font>
    <font>
      <b/>
      <sz val="16"/>
      <color theme="1"/>
      <name val="Calibri"/>
      <family val="2"/>
      <scheme val="minor"/>
    </font>
    <font>
      <i/>
      <sz val="12"/>
      <name val="Arial"/>
      <family val="2"/>
    </font>
    <font>
      <sz val="11"/>
      <color theme="1"/>
      <name val="Calibri"/>
      <family val="2"/>
      <scheme val="minor"/>
    </font>
    <font>
      <b/>
      <sz val="11"/>
      <color rgb="FFFFFFFF"/>
      <name val="Arial"/>
      <family val="2"/>
    </font>
    <font>
      <b/>
      <sz val="11"/>
      <color rgb="FF000000"/>
      <name val="Arial"/>
      <family val="2"/>
    </font>
    <font>
      <b/>
      <sz val="9"/>
      <color indexed="81"/>
      <name val="Tahoma"/>
      <family val="2"/>
    </font>
    <font>
      <sz val="9"/>
      <color indexed="81"/>
      <name val="Tahoma"/>
      <family val="2"/>
    </font>
    <font>
      <sz val="14"/>
      <color theme="1"/>
      <name val="Arial"/>
      <family val="2"/>
    </font>
  </fonts>
  <fills count="30">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D6DCE4"/>
        <bgColor indexed="64"/>
      </patternFill>
    </fill>
    <fill>
      <patternFill patternType="solid">
        <fgColor rgb="FFEDEDED"/>
        <bgColor indexed="64"/>
      </patternFill>
    </fill>
    <fill>
      <patternFill patternType="solid">
        <fgColor rgb="FF002060"/>
        <bgColor rgb="FF000000"/>
      </patternFill>
    </fill>
    <fill>
      <patternFill patternType="solid">
        <fgColor theme="8" tint="-0.249977111117893"/>
        <bgColor indexed="64"/>
      </patternFill>
    </fill>
    <fill>
      <patternFill patternType="solid">
        <fgColor rgb="FF525252"/>
        <bgColor rgb="FF000000"/>
      </patternFill>
    </fill>
    <fill>
      <patternFill patternType="solid">
        <fgColor theme="0" tint="-0.34998626667073579"/>
        <bgColor indexed="64"/>
      </patternFill>
    </fill>
    <fill>
      <patternFill patternType="solid">
        <fgColor theme="5"/>
        <bgColor rgb="FF000000"/>
      </patternFill>
    </fill>
    <fill>
      <patternFill patternType="solid">
        <fgColor theme="5" tint="0.79998168889431442"/>
        <bgColor rgb="FF000000"/>
      </patternFill>
    </fill>
    <fill>
      <patternFill patternType="solid">
        <fgColor theme="5" tint="-0.249977111117893"/>
        <bgColor indexed="64"/>
      </patternFill>
    </fill>
    <fill>
      <patternFill patternType="solid">
        <fgColor rgb="FFFFFF00"/>
        <bgColor indexed="64"/>
      </patternFill>
    </fill>
  </fills>
  <borders count="7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right style="medium">
        <color rgb="FFFFFFFF"/>
      </right>
      <top/>
      <bottom style="medium">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top/>
      <bottom/>
      <diagonal/>
    </border>
    <border>
      <left/>
      <right style="thin">
        <color theme="0"/>
      </right>
      <top/>
      <bottom/>
      <diagonal/>
    </border>
  </borders>
  <cellStyleXfs count="4">
    <xf numFmtId="0" fontId="0" fillId="0" borderId="0"/>
    <xf numFmtId="0" fontId="20" fillId="0" borderId="0" applyNumberFormat="0" applyFill="0" applyBorder="0" applyAlignment="0" applyProtection="0">
      <alignment vertical="top"/>
      <protection locked="0"/>
    </xf>
    <xf numFmtId="0" fontId="41" fillId="0" borderId="0"/>
    <xf numFmtId="9" fontId="59" fillId="0" borderId="0" applyFont="0" applyFill="0" applyBorder="0" applyAlignment="0" applyProtection="0"/>
  </cellStyleXfs>
  <cellXfs count="455">
    <xf numFmtId="0" fontId="0" fillId="0" borderId="0" xfId="0"/>
    <xf numFmtId="0" fontId="13" fillId="5" borderId="0" xfId="0" applyFont="1" applyFill="1" applyBorder="1" applyAlignment="1">
      <alignment vertical="center" wrapText="1"/>
    </xf>
    <xf numFmtId="0" fontId="12" fillId="6" borderId="0" xfId="0" applyFont="1" applyFill="1" applyAlignment="1" applyProtection="1">
      <alignment horizontal="center" vertical="center"/>
    </xf>
    <xf numFmtId="10" fontId="20" fillId="6" borderId="0" xfId="1" applyNumberFormat="1" applyFill="1" applyBorder="1" applyAlignment="1" applyProtection="1">
      <alignment horizontal="center" vertical="center"/>
    </xf>
    <xf numFmtId="0" fontId="0" fillId="0" borderId="0" xfId="0" applyAlignment="1">
      <alignment vertical="center"/>
    </xf>
    <xf numFmtId="0" fontId="27" fillId="13" borderId="0" xfId="0" applyFont="1" applyFill="1"/>
    <xf numFmtId="0" fontId="22" fillId="13" borderId="0" xfId="0" applyFont="1" applyFill="1"/>
    <xf numFmtId="0" fontId="24" fillId="13" borderId="0" xfId="1" applyFont="1" applyFill="1" applyBorder="1" applyAlignment="1" applyProtection="1">
      <alignment horizontal="left"/>
    </xf>
    <xf numFmtId="0" fontId="3" fillId="13" borderId="0" xfId="0" applyFont="1" applyFill="1"/>
    <xf numFmtId="0" fontId="14" fillId="13" borderId="0" xfId="0" applyFont="1" applyFill="1"/>
    <xf numFmtId="0" fontId="24" fillId="13" borderId="0" xfId="1" applyFont="1" applyFill="1" applyBorder="1" applyAlignment="1" applyProtection="1">
      <alignment horizontal="center"/>
    </xf>
    <xf numFmtId="9" fontId="3" fillId="13" borderId="0" xfId="0" applyNumberFormat="1" applyFont="1" applyFill="1"/>
    <xf numFmtId="9" fontId="14" fillId="13" borderId="0" xfId="0" applyNumberFormat="1" applyFont="1" applyFill="1"/>
    <xf numFmtId="10" fontId="14" fillId="13" borderId="0" xfId="0" applyNumberFormat="1" applyFont="1" applyFill="1" applyBorder="1" applyAlignment="1">
      <alignment horizontal="center" vertical="center"/>
    </xf>
    <xf numFmtId="0" fontId="26" fillId="13" borderId="0" xfId="0" applyFont="1" applyFill="1" applyBorder="1"/>
    <xf numFmtId="0" fontId="25" fillId="13" borderId="0" xfId="0" applyFont="1" applyFill="1"/>
    <xf numFmtId="0" fontId="28" fillId="13" borderId="0" xfId="0" applyFont="1" applyFill="1"/>
    <xf numFmtId="9" fontId="15" fillId="13" borderId="0" xfId="0" applyNumberFormat="1" applyFont="1" applyFill="1"/>
    <xf numFmtId="0" fontId="15" fillId="13" borderId="0" xfId="0" applyFont="1" applyFill="1" applyBorder="1"/>
    <xf numFmtId="9" fontId="29" fillId="13" borderId="6" xfId="0" applyNumberFormat="1" applyFont="1" applyFill="1" applyBorder="1" applyAlignment="1">
      <alignment horizontal="center"/>
    </xf>
    <xf numFmtId="0" fontId="29" fillId="13" borderId="6" xfId="0" applyFont="1" applyFill="1" applyBorder="1"/>
    <xf numFmtId="10" fontId="15" fillId="13" borderId="6" xfId="0" applyNumberFormat="1" applyFont="1" applyFill="1" applyBorder="1" applyAlignment="1">
      <alignment horizontal="center" vertical="center"/>
    </xf>
    <xf numFmtId="9" fontId="29" fillId="13" borderId="0" xfId="0" applyNumberFormat="1" applyFont="1" applyFill="1" applyBorder="1" applyAlignment="1">
      <alignment horizontal="center"/>
    </xf>
    <xf numFmtId="0" fontId="30" fillId="13" borderId="0" xfId="0" applyFont="1" applyFill="1" applyBorder="1"/>
    <xf numFmtId="9" fontId="15" fillId="13" borderId="0" xfId="0" applyNumberFormat="1" applyFont="1" applyFill="1" applyBorder="1" applyAlignment="1">
      <alignment horizontal="center" vertical="center"/>
    </xf>
    <xf numFmtId="9" fontId="15" fillId="13" borderId="0" xfId="0" applyNumberFormat="1" applyFont="1" applyFill="1" applyBorder="1"/>
    <xf numFmtId="0" fontId="15" fillId="13" borderId="0" xfId="0" applyFont="1" applyFill="1"/>
    <xf numFmtId="9" fontId="29" fillId="13" borderId="0" xfId="0" applyNumberFormat="1" applyFont="1" applyFill="1"/>
    <xf numFmtId="0" fontId="29" fillId="13" borderId="0" xfId="0" applyFont="1" applyFill="1" applyBorder="1"/>
    <xf numFmtId="9" fontId="20" fillId="6" borderId="0" xfId="1" applyNumberFormat="1" applyFill="1" applyBorder="1" applyAlignment="1" applyProtection="1">
      <alignment horizontal="center" vertical="center"/>
    </xf>
    <xf numFmtId="0" fontId="0" fillId="6" borderId="0" xfId="0" applyFill="1" applyAlignment="1">
      <alignment vertical="center"/>
    </xf>
    <xf numFmtId="0" fontId="31" fillId="6" borderId="0" xfId="1" applyFont="1" applyFill="1" applyBorder="1" applyAlignment="1" applyProtection="1">
      <alignment horizontal="center" vertical="center"/>
    </xf>
    <xf numFmtId="9" fontId="0" fillId="6" borderId="0" xfId="0" applyNumberFormat="1" applyFill="1" applyAlignment="1">
      <alignment vertical="center"/>
    </xf>
    <xf numFmtId="0" fontId="34" fillId="6" borderId="26" xfId="0" applyFont="1" applyFill="1" applyBorder="1" applyAlignment="1">
      <alignment horizontal="center" vertical="center" wrapText="1"/>
    </xf>
    <xf numFmtId="9" fontId="34" fillId="6" borderId="26" xfId="0" applyNumberFormat="1" applyFont="1" applyFill="1" applyBorder="1" applyAlignment="1">
      <alignment horizontal="center" vertical="center" wrapText="1"/>
    </xf>
    <xf numFmtId="0" fontId="34" fillId="6" borderId="27" xfId="0" applyFont="1" applyFill="1" applyBorder="1" applyAlignment="1">
      <alignment horizontal="center" vertical="center" wrapText="1"/>
    </xf>
    <xf numFmtId="10" fontId="34" fillId="6" borderId="28" xfId="0" applyNumberFormat="1" applyFont="1" applyFill="1" applyBorder="1" applyAlignment="1">
      <alignment horizontal="center" vertical="center" wrapText="1"/>
    </xf>
    <xf numFmtId="0" fontId="3" fillId="6" borderId="0" xfId="0" applyFont="1" applyFill="1" applyAlignment="1">
      <alignment vertical="center"/>
    </xf>
    <xf numFmtId="0" fontId="13" fillId="5" borderId="29" xfId="0" applyFont="1" applyFill="1" applyBorder="1" applyAlignment="1">
      <alignment vertical="center" wrapText="1"/>
    </xf>
    <xf numFmtId="9" fontId="13" fillId="5" borderId="0" xfId="0" applyNumberFormat="1" applyFont="1" applyFill="1" applyBorder="1" applyAlignment="1">
      <alignment vertical="center" wrapText="1"/>
    </xf>
    <xf numFmtId="0" fontId="13" fillId="5" borderId="30" xfId="0" applyFont="1" applyFill="1" applyBorder="1" applyAlignment="1">
      <alignment vertical="center" wrapText="1"/>
    </xf>
    <xf numFmtId="0" fontId="3" fillId="0" borderId="0" xfId="0" applyFont="1" applyAlignment="1">
      <alignment vertical="center"/>
    </xf>
    <xf numFmtId="0" fontId="9" fillId="6" borderId="0" xfId="0" applyFont="1" applyFill="1" applyAlignment="1">
      <alignment vertical="center"/>
    </xf>
    <xf numFmtId="0" fontId="35" fillId="6" borderId="31" xfId="0" applyFont="1" applyFill="1" applyBorder="1" applyAlignment="1">
      <alignment horizontal="right" vertical="center" wrapText="1"/>
    </xf>
    <xf numFmtId="0" fontId="36" fillId="6" borderId="26" xfId="0" applyFont="1" applyFill="1" applyBorder="1" applyAlignment="1">
      <alignment horizontal="center" vertical="center" wrapText="1"/>
    </xf>
    <xf numFmtId="10" fontId="34" fillId="6" borderId="26" xfId="0" applyNumberFormat="1" applyFont="1" applyFill="1" applyBorder="1" applyAlignment="1">
      <alignment horizontal="center" vertical="center" wrapText="1"/>
    </xf>
    <xf numFmtId="0" fontId="36" fillId="6" borderId="27" xfId="0" applyFont="1" applyFill="1" applyBorder="1" applyAlignment="1">
      <alignment horizontal="center" vertical="center" wrapText="1"/>
    </xf>
    <xf numFmtId="0" fontId="9" fillId="0" borderId="0" xfId="0" applyFont="1" applyAlignment="1">
      <alignment vertical="center"/>
    </xf>
    <xf numFmtId="0" fontId="13" fillId="5" borderId="29" xfId="0" applyFont="1" applyFill="1" applyBorder="1" applyAlignment="1">
      <alignment horizontal="left" vertical="center" wrapText="1"/>
    </xf>
    <xf numFmtId="0" fontId="34" fillId="5" borderId="0" xfId="0" applyFont="1" applyFill="1" applyBorder="1" applyAlignment="1">
      <alignment vertical="center" wrapText="1"/>
    </xf>
    <xf numFmtId="10" fontId="34" fillId="5" borderId="0" xfId="0" applyNumberFormat="1" applyFont="1" applyFill="1" applyBorder="1" applyAlignment="1">
      <alignment vertical="center" wrapText="1"/>
    </xf>
    <xf numFmtId="10" fontId="34" fillId="5" borderId="30" xfId="0" applyNumberFormat="1" applyFont="1" applyFill="1" applyBorder="1" applyAlignment="1">
      <alignment vertical="center" wrapText="1"/>
    </xf>
    <xf numFmtId="1" fontId="36" fillId="6" borderId="32" xfId="0" applyNumberFormat="1" applyFont="1" applyFill="1" applyBorder="1" applyAlignment="1">
      <alignment horizontal="center" vertical="center" wrapText="1"/>
    </xf>
    <xf numFmtId="9" fontId="0" fillId="0" borderId="0" xfId="0" applyNumberFormat="1" applyAlignment="1">
      <alignment vertical="center"/>
    </xf>
    <xf numFmtId="0" fontId="34" fillId="6" borderId="34" xfId="0" applyFont="1" applyFill="1" applyBorder="1" applyAlignment="1">
      <alignment horizontal="center" vertical="center" wrapText="1"/>
    </xf>
    <xf numFmtId="10" fontId="34" fillId="6" borderId="34" xfId="0" applyNumberFormat="1" applyFont="1" applyFill="1" applyBorder="1" applyAlignment="1">
      <alignment horizontal="center" vertical="center" wrapText="1"/>
    </xf>
    <xf numFmtId="0" fontId="36" fillId="6" borderId="35" xfId="0" applyFont="1" applyFill="1" applyBorder="1" applyAlignment="1">
      <alignment horizontal="center" vertical="center" wrapText="1"/>
    </xf>
    <xf numFmtId="10" fontId="34" fillId="6" borderId="35" xfId="0" applyNumberFormat="1" applyFont="1" applyFill="1" applyBorder="1" applyAlignment="1">
      <alignment horizontal="center" vertical="center" wrapText="1"/>
    </xf>
    <xf numFmtId="0" fontId="12" fillId="6" borderId="0" xfId="0" applyFont="1" applyFill="1" applyBorder="1" applyAlignment="1" applyProtection="1">
      <alignment horizontal="center" vertical="center"/>
    </xf>
    <xf numFmtId="0" fontId="35" fillId="0" borderId="33" xfId="0" applyFont="1" applyFill="1" applyBorder="1" applyAlignment="1">
      <alignment horizontal="right" vertical="center" wrapText="1"/>
    </xf>
    <xf numFmtId="0" fontId="36" fillId="0" borderId="26" xfId="0" applyFont="1" applyFill="1" applyBorder="1" applyAlignment="1">
      <alignment horizontal="center" vertical="center" wrapText="1"/>
    </xf>
    <xf numFmtId="10" fontId="34" fillId="0" borderId="26" xfId="0" applyNumberFormat="1" applyFont="1" applyFill="1" applyBorder="1" applyAlignment="1">
      <alignment horizontal="center" vertical="center" wrapText="1"/>
    </xf>
    <xf numFmtId="1" fontId="36" fillId="0" borderId="32" xfId="0" applyNumberFormat="1" applyFont="1" applyFill="1" applyBorder="1" applyAlignment="1">
      <alignment horizontal="center" vertical="center" wrapText="1"/>
    </xf>
    <xf numFmtId="10" fontId="34" fillId="0" borderId="28" xfId="0" applyNumberFormat="1" applyFont="1" applyFill="1" applyBorder="1" applyAlignment="1">
      <alignment horizontal="center" vertical="center" wrapText="1"/>
    </xf>
    <xf numFmtId="0" fontId="36" fillId="0" borderId="35" xfId="0" applyFont="1" applyFill="1" applyBorder="1" applyAlignment="1">
      <alignment horizontal="center" vertical="center" wrapText="1"/>
    </xf>
    <xf numFmtId="10" fontId="34" fillId="0" borderId="35" xfId="0" applyNumberFormat="1" applyFont="1" applyFill="1" applyBorder="1" applyAlignment="1">
      <alignment horizontal="center" vertical="center" wrapText="1"/>
    </xf>
    <xf numFmtId="0" fontId="36" fillId="0" borderId="32" xfId="0" applyFont="1" applyFill="1" applyBorder="1" applyAlignment="1">
      <alignment horizontal="center" vertical="center" wrapText="1"/>
    </xf>
    <xf numFmtId="0" fontId="22" fillId="16" borderId="0" xfId="0" applyFont="1" applyFill="1"/>
    <xf numFmtId="0" fontId="3" fillId="16" borderId="0" xfId="0" applyFont="1" applyFill="1"/>
    <xf numFmtId="0" fontId="14" fillId="16" borderId="0" xfId="0" applyFont="1" applyFill="1"/>
    <xf numFmtId="0" fontId="24" fillId="16" borderId="0" xfId="1" applyFont="1" applyFill="1" applyBorder="1" applyAlignment="1" applyProtection="1">
      <alignment horizontal="center"/>
    </xf>
    <xf numFmtId="10" fontId="14" fillId="16" borderId="0" xfId="0" applyNumberFormat="1" applyFont="1" applyFill="1" applyBorder="1" applyAlignment="1">
      <alignment horizontal="center" vertical="center"/>
    </xf>
    <xf numFmtId="0" fontId="25" fillId="16" borderId="0" xfId="0" applyFont="1" applyFill="1"/>
    <xf numFmtId="0" fontId="37" fillId="16" borderId="0" xfId="0" applyFont="1" applyFill="1"/>
    <xf numFmtId="0" fontId="9" fillId="16" borderId="0" xfId="0" applyFont="1" applyFill="1"/>
    <xf numFmtId="0" fontId="28" fillId="16" borderId="0" xfId="0" applyFont="1" applyFill="1"/>
    <xf numFmtId="0" fontId="15" fillId="16" borderId="0" xfId="0" applyFont="1" applyFill="1"/>
    <xf numFmtId="0" fontId="15" fillId="16" borderId="0" xfId="0" applyFont="1" applyFill="1" applyBorder="1"/>
    <xf numFmtId="0" fontId="29" fillId="16" borderId="6" xfId="0" applyFont="1" applyFill="1" applyBorder="1" applyAlignment="1">
      <alignment horizontal="center"/>
    </xf>
    <xf numFmtId="0" fontId="29" fillId="16" borderId="6" xfId="0" applyFont="1" applyFill="1" applyBorder="1"/>
    <xf numFmtId="10" fontId="15" fillId="16" borderId="6" xfId="0" applyNumberFormat="1" applyFont="1" applyFill="1" applyBorder="1" applyAlignment="1">
      <alignment horizontal="center" vertical="center"/>
    </xf>
    <xf numFmtId="0" fontId="29" fillId="16" borderId="0" xfId="0" applyFont="1" applyFill="1" applyBorder="1" applyAlignment="1">
      <alignment horizontal="center"/>
    </xf>
    <xf numFmtId="0" fontId="30" fillId="16" borderId="0" xfId="0" applyFont="1" applyFill="1" applyBorder="1"/>
    <xf numFmtId="10" fontId="15" fillId="16" borderId="0" xfId="0" applyNumberFormat="1" applyFont="1" applyFill="1" applyBorder="1" applyAlignment="1">
      <alignment horizontal="center" vertical="center"/>
    </xf>
    <xf numFmtId="0" fontId="29" fillId="16" borderId="0" xfId="0" applyFont="1" applyFill="1"/>
    <xf numFmtId="0" fontId="29" fillId="16" borderId="0" xfId="0" applyFont="1" applyFill="1" applyBorder="1"/>
    <xf numFmtId="0" fontId="9" fillId="16" borderId="0" xfId="0" applyFont="1" applyFill="1" applyBorder="1"/>
    <xf numFmtId="0" fontId="3" fillId="16" borderId="0" xfId="0" applyFont="1" applyFill="1" applyBorder="1"/>
    <xf numFmtId="0" fontId="28" fillId="16" borderId="0" xfId="0" applyFont="1" applyFill="1" applyBorder="1"/>
    <xf numFmtId="0" fontId="38" fillId="0" borderId="0" xfId="1" applyFont="1" applyFill="1" applyBorder="1" applyAlignment="1" applyProtection="1">
      <alignment horizontal="left"/>
    </xf>
    <xf numFmtId="0" fontId="39" fillId="6" borderId="0" xfId="0" applyFont="1" applyFill="1" applyProtection="1"/>
    <xf numFmtId="0" fontId="39" fillId="6" borderId="0" xfId="0" applyFont="1" applyFill="1" applyAlignment="1" applyProtection="1">
      <alignment horizontal="left" vertical="top" wrapText="1"/>
    </xf>
    <xf numFmtId="0" fontId="42" fillId="6" borderId="0" xfId="0" applyFont="1" applyFill="1" applyProtection="1"/>
    <xf numFmtId="0" fontId="42" fillId="0" borderId="0" xfId="0" applyFont="1" applyProtection="1"/>
    <xf numFmtId="0" fontId="12" fillId="6" borderId="0" xfId="0" applyFont="1" applyFill="1" applyBorder="1" applyAlignment="1" applyProtection="1">
      <alignment horizontal="center" vertical="center" wrapText="1"/>
    </xf>
    <xf numFmtId="1" fontId="6" fillId="14" borderId="6" xfId="0" applyNumberFormat="1" applyFont="1" applyFill="1" applyBorder="1" applyAlignment="1" applyProtection="1">
      <alignment horizontal="center" vertical="center" wrapText="1"/>
    </xf>
    <xf numFmtId="0" fontId="44" fillId="6" borderId="6" xfId="0" applyFont="1" applyFill="1" applyBorder="1" applyAlignment="1" applyProtection="1">
      <alignment horizontal="center" vertical="center" wrapText="1"/>
    </xf>
    <xf numFmtId="0" fontId="45" fillId="6" borderId="6" xfId="0" applyFont="1" applyFill="1" applyBorder="1" applyAlignment="1" applyProtection="1">
      <alignment horizontal="center" vertical="center"/>
    </xf>
    <xf numFmtId="0" fontId="0" fillId="6" borderId="0" xfId="0" applyFill="1" applyProtection="1"/>
    <xf numFmtId="0" fontId="46" fillId="6" borderId="42" xfId="0" applyFont="1" applyFill="1" applyBorder="1" applyAlignment="1" applyProtection="1">
      <alignment horizontal="center" vertical="center" wrapText="1"/>
    </xf>
    <xf numFmtId="0" fontId="0" fillId="0" borderId="0" xfId="0" applyProtection="1"/>
    <xf numFmtId="0" fontId="47" fillId="6" borderId="0" xfId="0" applyFont="1" applyFill="1" applyProtection="1"/>
    <xf numFmtId="0" fontId="45" fillId="0" borderId="6" xfId="0" applyFont="1" applyFill="1" applyBorder="1" applyAlignment="1" applyProtection="1">
      <alignment horizontal="center" vertical="center"/>
    </xf>
    <xf numFmtId="0" fontId="44" fillId="6" borderId="42" xfId="0" applyFont="1" applyFill="1" applyBorder="1" applyAlignment="1" applyProtection="1">
      <alignment horizontal="center" vertical="center" wrapText="1"/>
    </xf>
    <xf numFmtId="0" fontId="48" fillId="6" borderId="0" xfId="0" applyFont="1" applyFill="1" applyAlignment="1" applyProtection="1">
      <alignment horizontal="center" vertical="center"/>
    </xf>
    <xf numFmtId="0" fontId="49" fillId="6" borderId="40" xfId="0" applyFont="1" applyFill="1" applyBorder="1" applyAlignment="1" applyProtection="1">
      <alignment horizontal="center" vertical="center"/>
    </xf>
    <xf numFmtId="0" fontId="19" fillId="6" borderId="0" xfId="0" applyFont="1" applyFill="1" applyBorder="1" applyAlignment="1" applyProtection="1">
      <alignment horizontal="left" vertical="top"/>
    </xf>
    <xf numFmtId="0" fontId="19" fillId="6" borderId="0" xfId="0" applyFont="1" applyFill="1" applyBorder="1" applyAlignment="1" applyProtection="1">
      <alignment horizontal="left" vertical="center"/>
    </xf>
    <xf numFmtId="0" fontId="19"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5" fillId="6" borderId="9" xfId="0" applyFont="1" applyFill="1" applyBorder="1" applyAlignment="1" applyProtection="1">
      <alignment horizontal="center" vertical="center"/>
    </xf>
    <xf numFmtId="1" fontId="6" fillId="14" borderId="40" xfId="0" applyNumberFormat="1" applyFont="1" applyFill="1" applyBorder="1" applyAlignment="1" applyProtection="1">
      <alignment horizontal="center" vertical="center" wrapText="1"/>
    </xf>
    <xf numFmtId="0" fontId="50" fillId="0" borderId="43" xfId="0" applyFont="1" applyFill="1" applyBorder="1" applyAlignment="1" applyProtection="1">
      <alignment horizontal="center" vertical="center"/>
    </xf>
    <xf numFmtId="0" fontId="51" fillId="6" borderId="0" xfId="0" applyFont="1" applyFill="1" applyProtection="1"/>
    <xf numFmtId="0" fontId="51" fillId="0" borderId="0" xfId="0" applyFont="1" applyProtection="1"/>
    <xf numFmtId="0" fontId="6" fillId="6" borderId="0" xfId="0" applyFont="1" applyFill="1" applyBorder="1" applyAlignment="1" applyProtection="1">
      <alignment horizontal="left" vertical="top" wrapText="1"/>
    </xf>
    <xf numFmtId="0" fontId="6" fillId="6" borderId="0" xfId="0" applyFont="1" applyFill="1" applyBorder="1" applyAlignment="1" applyProtection="1">
      <alignment horizontal="center" vertical="center" wrapText="1"/>
    </xf>
    <xf numFmtId="0" fontId="6" fillId="6" borderId="0" xfId="0" applyFont="1" applyFill="1" applyBorder="1" applyAlignment="1" applyProtection="1">
      <alignment horizontal="left" vertical="center" wrapText="1"/>
    </xf>
    <xf numFmtId="0" fontId="52" fillId="6" borderId="0" xfId="0" applyFont="1" applyFill="1" applyBorder="1" applyAlignment="1" applyProtection="1">
      <alignment horizontal="center" vertical="center" wrapText="1"/>
    </xf>
    <xf numFmtId="0" fontId="50"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3" fillId="19" borderId="40" xfId="0" applyNumberFormat="1" applyFont="1" applyFill="1" applyBorder="1" applyAlignment="1" applyProtection="1">
      <alignment horizontal="center" vertical="center" wrapText="1"/>
    </xf>
    <xf numFmtId="17" fontId="43" fillId="19" borderId="41" xfId="0" applyNumberFormat="1" applyFont="1" applyFill="1" applyBorder="1" applyAlignment="1" applyProtection="1">
      <alignment horizontal="center" vertical="center" wrapText="1"/>
    </xf>
    <xf numFmtId="17" fontId="43" fillId="19" borderId="6" xfId="0" applyNumberFormat="1" applyFont="1" applyFill="1" applyBorder="1" applyAlignment="1" applyProtection="1">
      <alignment horizontal="center" vertical="center" wrapText="1"/>
    </xf>
    <xf numFmtId="0" fontId="53" fillId="17" borderId="40" xfId="0" applyFont="1" applyFill="1" applyBorder="1" applyAlignment="1" applyProtection="1">
      <alignment horizontal="left" vertical="center" wrapText="1"/>
    </xf>
    <xf numFmtId="0" fontId="54" fillId="18" borderId="6" xfId="0" applyFont="1" applyFill="1" applyBorder="1" applyAlignment="1" applyProtection="1">
      <alignment horizontal="left" vertical="center" wrapText="1"/>
    </xf>
    <xf numFmtId="0" fontId="54" fillId="18" borderId="40" xfId="0" applyFont="1" applyFill="1" applyBorder="1" applyAlignment="1" applyProtection="1">
      <alignment horizontal="left" vertical="center" wrapText="1"/>
    </xf>
    <xf numFmtId="0" fontId="44" fillId="6" borderId="40" xfId="0" applyFont="1" applyFill="1" applyBorder="1" applyAlignment="1" applyProtection="1">
      <alignment horizontal="center" vertical="center" wrapText="1"/>
    </xf>
    <xf numFmtId="0" fontId="45" fillId="6" borderId="40" xfId="0" applyFont="1" applyFill="1" applyBorder="1" applyAlignment="1" applyProtection="1">
      <alignment horizontal="center" vertical="center"/>
    </xf>
    <xf numFmtId="0" fontId="40" fillId="5" borderId="6" xfId="0" applyFont="1" applyFill="1" applyBorder="1" applyAlignment="1" applyProtection="1">
      <alignment horizontal="center" vertical="center" wrapText="1"/>
    </xf>
    <xf numFmtId="49" fontId="13" fillId="5" borderId="6" xfId="2" applyNumberFormat="1" applyFont="1" applyFill="1" applyBorder="1" applyAlignment="1" applyProtection="1">
      <alignment horizontal="center" vertical="center" wrapText="1"/>
    </xf>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13" fillId="4" borderId="0" xfId="0" applyFont="1" applyFill="1" applyBorder="1" applyAlignment="1" applyProtection="1">
      <alignment horizontal="left" vertical="center"/>
    </xf>
    <xf numFmtId="0" fontId="13" fillId="4" borderId="0" xfId="0" applyFont="1" applyFill="1" applyBorder="1" applyAlignment="1" applyProtection="1">
      <alignment horizontal="center" vertical="center"/>
    </xf>
    <xf numFmtId="0" fontId="6" fillId="4" borderId="0" xfId="0" applyFont="1" applyFill="1" applyBorder="1" applyAlignment="1" applyProtection="1">
      <alignment horizontal="center" vertical="center" wrapText="1"/>
    </xf>
    <xf numFmtId="0" fontId="14" fillId="6" borderId="0" xfId="0" applyFont="1" applyFill="1" applyAlignment="1" applyProtection="1">
      <alignment horizontal="center" vertical="center"/>
    </xf>
    <xf numFmtId="0" fontId="13" fillId="4" borderId="0" xfId="0" applyFont="1" applyFill="1" applyBorder="1" applyAlignment="1" applyProtection="1">
      <alignment vertical="center"/>
    </xf>
    <xf numFmtId="0" fontId="13" fillId="4" borderId="0" xfId="0" applyFont="1" applyFill="1" applyBorder="1" applyAlignment="1" applyProtection="1">
      <alignment horizontal="left" vertical="center" wrapText="1"/>
    </xf>
    <xf numFmtId="0" fontId="13" fillId="4" borderId="0" xfId="0" applyFont="1" applyFill="1" applyBorder="1" applyAlignment="1" applyProtection="1">
      <alignment horizontal="center" vertical="center" wrapText="1"/>
    </xf>
    <xf numFmtId="10" fontId="13" fillId="4" borderId="0" xfId="0" applyNumberFormat="1" applyFont="1" applyFill="1" applyBorder="1" applyAlignment="1" applyProtection="1">
      <alignment horizontal="center" vertical="center" wrapText="1"/>
    </xf>
    <xf numFmtId="0" fontId="14" fillId="6" borderId="0" xfId="0" applyFont="1" applyFill="1" applyAlignment="1" applyProtection="1">
      <alignment vertical="center"/>
    </xf>
    <xf numFmtId="0" fontId="4" fillId="6" borderId="0" xfId="0" applyFont="1" applyFill="1" applyAlignment="1" applyProtection="1">
      <alignment vertical="center"/>
    </xf>
    <xf numFmtId="0" fontId="4" fillId="6" borderId="0" xfId="0" applyFont="1" applyFill="1" applyAlignment="1" applyProtection="1">
      <alignment horizontal="center" vertical="center"/>
    </xf>
    <xf numFmtId="0" fontId="16" fillId="6" borderId="0" xfId="0" applyFont="1" applyFill="1" applyAlignment="1" applyProtection="1">
      <alignment horizontal="center" vertical="center"/>
    </xf>
    <xf numFmtId="0" fontId="17" fillId="6" borderId="0" xfId="0" applyFont="1" applyFill="1" applyAlignment="1" applyProtection="1">
      <alignment horizontal="center" vertical="center"/>
    </xf>
    <xf numFmtId="10" fontId="17" fillId="6" borderId="0" xfId="0" applyNumberFormat="1" applyFont="1" applyFill="1" applyAlignment="1" applyProtection="1">
      <alignment horizontal="center" vertical="center"/>
    </xf>
    <xf numFmtId="0" fontId="16" fillId="6" borderId="0" xfId="0" applyFont="1" applyFill="1" applyAlignment="1" applyProtection="1">
      <alignment vertical="center"/>
    </xf>
    <xf numFmtId="0" fontId="6" fillId="5" borderId="9" xfId="0" applyFont="1" applyFill="1" applyBorder="1" applyAlignment="1" applyProtection="1">
      <alignment vertical="center" wrapText="1"/>
    </xf>
    <xf numFmtId="0" fontId="12" fillId="5" borderId="11" xfId="0" applyFont="1" applyFill="1" applyBorder="1" applyAlignment="1" applyProtection="1">
      <alignment horizontal="center" vertical="center"/>
    </xf>
    <xf numFmtId="0" fontId="12" fillId="5" borderId="16" xfId="0" applyFont="1" applyFill="1" applyBorder="1" applyAlignment="1" applyProtection="1">
      <alignment horizontal="center" vertical="center"/>
    </xf>
    <xf numFmtId="0" fontId="6" fillId="5" borderId="6" xfId="0" applyFont="1" applyFill="1" applyBorder="1" applyAlignment="1" applyProtection="1">
      <alignment horizontal="left" vertical="center"/>
    </xf>
    <xf numFmtId="0" fontId="12" fillId="5" borderId="0" xfId="0" applyFont="1" applyFill="1" applyAlignment="1" applyProtection="1">
      <alignment horizontal="center" vertical="center"/>
    </xf>
    <xf numFmtId="10" fontId="12" fillId="5" borderId="0" xfId="0" applyNumberFormat="1" applyFont="1" applyFill="1" applyAlignment="1" applyProtection="1">
      <alignment horizontal="center" vertical="center"/>
    </xf>
    <xf numFmtId="0" fontId="7" fillId="2" borderId="12"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0" fontId="16" fillId="6" borderId="0" xfId="0" applyFont="1" applyFill="1" applyBorder="1" applyAlignment="1" applyProtection="1">
      <alignment vertical="center"/>
    </xf>
    <xf numFmtId="0" fontId="4" fillId="0" borderId="12" xfId="0" applyFont="1" applyFill="1" applyBorder="1" applyAlignment="1" applyProtection="1">
      <alignment horizontal="center" vertical="center" wrapText="1"/>
    </xf>
    <xf numFmtId="10" fontId="4" fillId="0" borderId="12" xfId="0" applyNumberFormat="1" applyFont="1" applyFill="1" applyBorder="1" applyAlignment="1" applyProtection="1">
      <alignment horizontal="center" vertical="center" wrapText="1"/>
    </xf>
    <xf numFmtId="0" fontId="7" fillId="8" borderId="12" xfId="0" applyFont="1" applyFill="1" applyBorder="1" applyAlignment="1" applyProtection="1">
      <alignment horizontal="left" vertical="center"/>
    </xf>
    <xf numFmtId="0" fontId="7" fillId="0" borderId="12" xfId="0" applyFont="1" applyFill="1" applyBorder="1" applyAlignment="1" applyProtection="1">
      <alignment horizontal="center" vertical="center" wrapText="1"/>
    </xf>
    <xf numFmtId="0" fontId="6" fillId="9" borderId="12" xfId="0" applyFont="1" applyFill="1" applyBorder="1" applyAlignment="1" applyProtection="1">
      <alignment vertical="center" wrapText="1"/>
    </xf>
    <xf numFmtId="0" fontId="7" fillId="0" borderId="12" xfId="0" applyFont="1" applyFill="1" applyBorder="1" applyAlignment="1" applyProtection="1">
      <alignment vertical="center" wrapText="1"/>
    </xf>
    <xf numFmtId="10" fontId="4" fillId="0" borderId="12" xfId="0" applyNumberFormat="1" applyFont="1" applyFill="1" applyBorder="1" applyAlignment="1" applyProtection="1">
      <alignment horizontal="center" vertical="center"/>
    </xf>
    <xf numFmtId="10" fontId="4" fillId="6" borderId="0" xfId="0" applyNumberFormat="1" applyFont="1" applyFill="1" applyBorder="1" applyAlignment="1" applyProtection="1">
      <alignment horizontal="center" vertical="center"/>
    </xf>
    <xf numFmtId="0" fontId="12" fillId="6" borderId="12" xfId="0" applyFont="1" applyFill="1" applyBorder="1" applyAlignment="1" applyProtection="1">
      <alignment vertical="center" wrapText="1"/>
    </xf>
    <xf numFmtId="10" fontId="12" fillId="6" borderId="12" xfId="0" applyNumberFormat="1" applyFont="1" applyFill="1" applyBorder="1" applyAlignment="1" applyProtection="1">
      <alignment horizontal="center" vertical="center"/>
    </xf>
    <xf numFmtId="10" fontId="12" fillId="6" borderId="0" xfId="0" applyNumberFormat="1" applyFont="1" applyFill="1" applyBorder="1" applyAlignment="1" applyProtection="1">
      <alignment horizontal="center" vertical="center"/>
    </xf>
    <xf numFmtId="0" fontId="21" fillId="6" borderId="12" xfId="0" applyFont="1" applyFill="1" applyBorder="1" applyAlignment="1" applyProtection="1">
      <alignment vertical="center" wrapText="1"/>
    </xf>
    <xf numFmtId="0" fontId="4" fillId="6" borderId="12" xfId="0" applyFont="1" applyFill="1" applyBorder="1" applyAlignment="1" applyProtection="1">
      <alignment horizontal="center" vertical="center"/>
    </xf>
    <xf numFmtId="0" fontId="16" fillId="6" borderId="0" xfId="0" applyFont="1" applyFill="1" applyAlignment="1" applyProtection="1">
      <alignment horizontal="left" vertical="center" wrapText="1"/>
    </xf>
    <xf numFmtId="10" fontId="16" fillId="6" borderId="0" xfId="0" applyNumberFormat="1" applyFont="1" applyFill="1" applyAlignment="1" applyProtection="1">
      <alignment horizontal="center" vertical="center"/>
    </xf>
    <xf numFmtId="0" fontId="6" fillId="5" borderId="17" xfId="0" applyFont="1" applyFill="1" applyBorder="1" applyAlignment="1" applyProtection="1">
      <alignment vertical="center"/>
    </xf>
    <xf numFmtId="0" fontId="6" fillId="5" borderId="11" xfId="0" applyFont="1" applyFill="1" applyBorder="1" applyAlignment="1" applyProtection="1">
      <alignment horizontal="center" vertical="center"/>
    </xf>
    <xf numFmtId="0" fontId="6" fillId="5" borderId="16" xfId="0" applyFont="1" applyFill="1" applyBorder="1" applyAlignment="1" applyProtection="1">
      <alignment horizontal="center" vertical="center"/>
    </xf>
    <xf numFmtId="0" fontId="21" fillId="6" borderId="0" xfId="0" applyFont="1" applyFill="1" applyBorder="1" applyAlignment="1" applyProtection="1">
      <alignment horizontal="left" vertical="center" wrapText="1"/>
    </xf>
    <xf numFmtId="10" fontId="16" fillId="6" borderId="0" xfId="0" applyNumberFormat="1" applyFont="1" applyFill="1" applyBorder="1" applyAlignment="1" applyProtection="1">
      <alignment horizontal="center" vertical="center"/>
    </xf>
    <xf numFmtId="0" fontId="21" fillId="6" borderId="0" xfId="0" applyFont="1" applyFill="1" applyBorder="1" applyAlignment="1" applyProtection="1">
      <alignment vertical="center" wrapText="1"/>
    </xf>
    <xf numFmtId="0" fontId="6" fillId="5" borderId="10" xfId="0" applyFont="1" applyFill="1" applyBorder="1" applyAlignment="1" applyProtection="1">
      <alignment vertical="center"/>
    </xf>
    <xf numFmtId="0" fontId="6" fillId="5" borderId="7" xfId="0" applyFont="1" applyFill="1" applyBorder="1" applyAlignment="1" applyProtection="1">
      <alignment horizontal="center" vertical="center"/>
    </xf>
    <xf numFmtId="0" fontId="12" fillId="5" borderId="7"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21" fillId="6" borderId="19" xfId="0" applyFont="1" applyFill="1" applyBorder="1" applyAlignment="1" applyProtection="1">
      <alignment vertical="center" wrapText="1"/>
    </xf>
    <xf numFmtId="0" fontId="15" fillId="6" borderId="0" xfId="0" applyFont="1" applyFill="1" applyAlignment="1" applyProtection="1">
      <alignment horizontal="center" vertical="center"/>
    </xf>
    <xf numFmtId="0" fontId="10" fillId="5" borderId="0" xfId="0" applyFont="1" applyFill="1" applyAlignment="1" applyProtection="1">
      <alignment horizontal="center" vertical="center"/>
    </xf>
    <xf numFmtId="0" fontId="13" fillId="5" borderId="0" xfId="0" applyFont="1" applyFill="1" applyBorder="1" applyAlignment="1" applyProtection="1">
      <alignment horizontal="left" vertical="center"/>
    </xf>
    <xf numFmtId="0" fontId="13" fillId="5" borderId="0" xfId="0" applyFont="1" applyFill="1" applyBorder="1" applyAlignment="1" applyProtection="1">
      <alignment horizontal="center" vertical="center"/>
    </xf>
    <xf numFmtId="0" fontId="6" fillId="5" borderId="0" xfId="0" applyFont="1" applyFill="1" applyBorder="1" applyAlignment="1" applyProtection="1">
      <alignment horizontal="center" vertical="center" wrapText="1"/>
    </xf>
    <xf numFmtId="0" fontId="6" fillId="5" borderId="0" xfId="0" applyFont="1" applyFill="1" applyBorder="1" applyAlignment="1" applyProtection="1">
      <alignment vertical="center" wrapText="1"/>
    </xf>
    <xf numFmtId="0" fontId="13" fillId="5" borderId="0" xfId="0" applyFont="1" applyFill="1" applyBorder="1" applyAlignment="1" applyProtection="1">
      <alignment horizontal="left" vertical="center" wrapText="1"/>
    </xf>
    <xf numFmtId="0" fontId="13" fillId="5" borderId="0" xfId="0" applyFont="1" applyFill="1" applyBorder="1" applyAlignment="1" applyProtection="1">
      <alignment horizontal="center" vertical="center" wrapText="1"/>
    </xf>
    <xf numFmtId="10" fontId="13" fillId="5" borderId="0" xfId="0" applyNumberFormat="1" applyFont="1" applyFill="1" applyBorder="1" applyAlignment="1" applyProtection="1">
      <alignment horizontal="center" vertical="center" wrapText="1"/>
    </xf>
    <xf numFmtId="0" fontId="6" fillId="12" borderId="36" xfId="0" applyFont="1" applyFill="1" applyBorder="1" applyAlignment="1" applyProtection="1">
      <alignment vertical="center" wrapText="1"/>
    </xf>
    <xf numFmtId="0" fontId="12" fillId="12" borderId="36" xfId="0" applyFont="1" applyFill="1" applyBorder="1" applyAlignment="1" applyProtection="1">
      <alignment horizontal="center" vertical="center"/>
    </xf>
    <xf numFmtId="0" fontId="12" fillId="12" borderId="36" xfId="0" applyFont="1" applyFill="1" applyBorder="1" applyAlignment="1" applyProtection="1">
      <alignment vertical="center"/>
    </xf>
    <xf numFmtId="0" fontId="7" fillId="7" borderId="36" xfId="0" applyFont="1" applyFill="1" applyBorder="1" applyAlignment="1" applyProtection="1">
      <alignment vertical="center" wrapText="1"/>
    </xf>
    <xf numFmtId="0" fontId="7" fillId="7" borderId="36"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10" fontId="4" fillId="0" borderId="36" xfId="0" applyNumberFormat="1" applyFont="1" applyFill="1" applyBorder="1" applyAlignment="1" applyProtection="1">
      <alignment horizontal="center" vertical="center" wrapText="1"/>
    </xf>
    <xf numFmtId="10" fontId="4" fillId="0" borderId="36" xfId="0" applyNumberFormat="1" applyFont="1" applyFill="1" applyBorder="1" applyAlignment="1" applyProtection="1">
      <alignment vertical="center" wrapText="1"/>
    </xf>
    <xf numFmtId="0" fontId="6" fillId="9" borderId="36" xfId="0" applyFont="1" applyFill="1" applyBorder="1" applyAlignment="1" applyProtection="1">
      <alignment vertical="center" wrapText="1"/>
    </xf>
    <xf numFmtId="0" fontId="7" fillId="0" borderId="36" xfId="0" applyFont="1" applyFill="1" applyBorder="1" applyAlignment="1" applyProtection="1">
      <alignment vertical="center" wrapText="1"/>
    </xf>
    <xf numFmtId="10" fontId="4" fillId="0" borderId="36" xfId="0" applyNumberFormat="1" applyFont="1" applyFill="1" applyBorder="1" applyAlignment="1" applyProtection="1">
      <alignment horizontal="center" vertical="center"/>
    </xf>
    <xf numFmtId="10" fontId="4" fillId="6" borderId="0" xfId="0" applyNumberFormat="1" applyFont="1" applyFill="1" applyBorder="1" applyAlignment="1" applyProtection="1">
      <alignment vertical="center"/>
    </xf>
    <xf numFmtId="0" fontId="12" fillId="6" borderId="36" xfId="0" applyFont="1" applyFill="1" applyBorder="1" applyAlignment="1" applyProtection="1">
      <alignment vertical="center" wrapText="1"/>
    </xf>
    <xf numFmtId="10" fontId="12" fillId="6" borderId="36" xfId="0" applyNumberFormat="1" applyFont="1" applyFill="1" applyBorder="1" applyAlignment="1" applyProtection="1">
      <alignment horizontal="center" vertical="center"/>
    </xf>
    <xf numFmtId="10" fontId="12" fillId="6" borderId="0" xfId="0" applyNumberFormat="1" applyFont="1" applyFill="1" applyBorder="1" applyAlignment="1" applyProtection="1">
      <alignment vertical="center"/>
    </xf>
    <xf numFmtId="0" fontId="21" fillId="6" borderId="36" xfId="0" applyFont="1" applyFill="1" applyBorder="1" applyAlignment="1" applyProtection="1">
      <alignment vertical="center" wrapText="1"/>
    </xf>
    <xf numFmtId="0" fontId="4" fillId="6" borderId="36" xfId="0" applyFont="1" applyFill="1" applyBorder="1" applyAlignment="1" applyProtection="1">
      <alignment horizontal="center" vertical="center"/>
    </xf>
    <xf numFmtId="0" fontId="12" fillId="6" borderId="0" xfId="0" applyFont="1" applyFill="1" applyBorder="1" applyAlignment="1" applyProtection="1">
      <alignment vertical="center"/>
    </xf>
    <xf numFmtId="0" fontId="6" fillId="6" borderId="0" xfId="0" applyFont="1" applyFill="1" applyBorder="1" applyAlignment="1" applyProtection="1">
      <alignment horizontal="left" vertical="center"/>
    </xf>
    <xf numFmtId="0" fontId="15" fillId="6" borderId="0"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6" fillId="12" borderId="36" xfId="0" applyFont="1" applyFill="1" applyBorder="1" applyAlignment="1" applyProtection="1">
      <alignment vertical="center"/>
    </xf>
    <xf numFmtId="10" fontId="9" fillId="6" borderId="0" xfId="0" applyNumberFormat="1" applyFont="1" applyFill="1" applyAlignment="1">
      <alignment vertical="center"/>
    </xf>
    <xf numFmtId="0" fontId="6" fillId="10" borderId="12" xfId="0" applyFont="1" applyFill="1" applyBorder="1" applyAlignment="1" applyProtection="1">
      <alignment vertical="center" wrapText="1"/>
    </xf>
    <xf numFmtId="0" fontId="6" fillId="15" borderId="36" xfId="0" applyFont="1" applyFill="1" applyBorder="1" applyAlignment="1" applyProtection="1">
      <alignment vertical="center" wrapText="1"/>
    </xf>
    <xf numFmtId="0" fontId="0" fillId="0" borderId="1" xfId="0" applyNumberFormat="1" applyBorder="1" applyAlignment="1" applyProtection="1">
      <alignment horizontal="left" vertical="center" wrapText="1"/>
    </xf>
    <xf numFmtId="0" fontId="0" fillId="0" borderId="1" xfId="0" applyNumberFormat="1" applyBorder="1" applyAlignment="1" applyProtection="1">
      <alignment horizontal="center" vertical="center" wrapText="1"/>
    </xf>
    <xf numFmtId="0" fontId="6" fillId="4" borderId="3" xfId="0" applyNumberFormat="1" applyFont="1" applyFill="1" applyBorder="1" applyAlignment="1" applyProtection="1">
      <alignment horizontal="center" vertical="center" wrapText="1"/>
    </xf>
    <xf numFmtId="0" fontId="9" fillId="6" borderId="0" xfId="0" applyNumberFormat="1" applyFont="1" applyFill="1" applyAlignment="1" applyProtection="1">
      <alignment horizontal="left" wrapText="1"/>
    </xf>
    <xf numFmtId="0" fontId="3" fillId="6" borderId="0" xfId="0" applyNumberFormat="1" applyFont="1" applyFill="1" applyAlignment="1" applyProtection="1">
      <alignment horizontal="left" wrapText="1"/>
    </xf>
    <xf numFmtId="0" fontId="10" fillId="6" borderId="0" xfId="0" applyNumberFormat="1" applyFont="1" applyFill="1" applyAlignment="1" applyProtection="1">
      <alignment wrapText="1"/>
    </xf>
    <xf numFmtId="164" fontId="0" fillId="0" borderId="1" xfId="0" applyNumberFormat="1" applyBorder="1" applyAlignment="1" applyProtection="1">
      <alignment horizontal="center" vertical="center" wrapText="1"/>
    </xf>
    <xf numFmtId="0" fontId="60" fillId="22" borderId="64" xfId="0" applyFont="1" applyFill="1" applyBorder="1" applyAlignment="1" applyProtection="1">
      <alignment horizontal="center" vertical="center" wrapText="1"/>
    </xf>
    <xf numFmtId="166" fontId="60" fillId="22" borderId="65" xfId="0" applyNumberFormat="1" applyFont="1" applyFill="1" applyBorder="1" applyAlignment="1" applyProtection="1">
      <alignment horizontal="center" vertical="center" wrapText="1"/>
    </xf>
    <xf numFmtId="0" fontId="60" fillId="24" borderId="64" xfId="0" applyFont="1" applyFill="1" applyBorder="1" applyAlignment="1" applyProtection="1">
      <alignment horizontal="center" vertical="center" wrapText="1"/>
    </xf>
    <xf numFmtId="0" fontId="17" fillId="3" borderId="62" xfId="0" applyFont="1" applyFill="1" applyBorder="1" applyAlignment="1" applyProtection="1">
      <alignment horizontal="center" vertical="center" wrapText="1"/>
    </xf>
    <xf numFmtId="0" fontId="8" fillId="0" borderId="1" xfId="0" applyNumberFormat="1" applyFont="1" applyBorder="1" applyAlignment="1" applyProtection="1">
      <alignment horizontal="left" vertical="center" wrapText="1"/>
    </xf>
    <xf numFmtId="0" fontId="10" fillId="6" borderId="0" xfId="0" applyNumberFormat="1" applyFont="1" applyFill="1" applyAlignment="1" applyProtection="1">
      <alignment horizontal="left" vertical="top" wrapText="1"/>
    </xf>
    <xf numFmtId="0" fontId="10" fillId="6" borderId="0" xfId="0" applyNumberFormat="1" applyFont="1" applyFill="1" applyAlignment="1" applyProtection="1">
      <alignment vertical="center" wrapText="1"/>
    </xf>
    <xf numFmtId="0" fontId="57" fillId="0" borderId="1" xfId="0" applyNumberFormat="1" applyFont="1" applyBorder="1" applyAlignment="1" applyProtection="1">
      <alignment horizontal="left" vertical="center"/>
    </xf>
    <xf numFmtId="0" fontId="0" fillId="0" borderId="1" xfId="0" applyNumberFormat="1" applyBorder="1" applyAlignment="1" applyProtection="1">
      <alignment horizontal="left" vertical="center"/>
    </xf>
    <xf numFmtId="0" fontId="0" fillId="0" borderId="3" xfId="0" applyNumberFormat="1" applyBorder="1" applyAlignment="1" applyProtection="1">
      <alignment horizontal="center" vertical="center"/>
    </xf>
    <xf numFmtId="0" fontId="8" fillId="0" borderId="1" xfId="0" applyNumberFormat="1" applyFont="1" applyBorder="1" applyAlignment="1" applyProtection="1">
      <alignment horizontal="left" vertical="center"/>
    </xf>
    <xf numFmtId="0" fontId="61" fillId="20" borderId="63" xfId="0" applyFont="1" applyFill="1" applyBorder="1" applyAlignment="1" applyProtection="1">
      <alignment vertical="center" wrapText="1"/>
    </xf>
    <xf numFmtId="0" fontId="61" fillId="21" borderId="63" xfId="0" applyFont="1" applyFill="1" applyBorder="1" applyAlignment="1" applyProtection="1">
      <alignment vertical="center" wrapText="1"/>
    </xf>
    <xf numFmtId="166" fontId="61" fillId="21" borderId="63" xfId="0" applyNumberFormat="1" applyFont="1" applyFill="1" applyBorder="1" applyAlignment="1" applyProtection="1">
      <alignment horizontal="center" vertical="center" wrapText="1"/>
    </xf>
    <xf numFmtId="10" fontId="4" fillId="0" borderId="12" xfId="0" applyNumberFormat="1" applyFont="1" applyFill="1" applyBorder="1" applyAlignment="1" applyProtection="1">
      <alignment horizontal="center" vertical="center" wrapText="1"/>
    </xf>
    <xf numFmtId="10" fontId="4" fillId="0" borderId="36" xfId="0" applyNumberFormat="1" applyFont="1" applyFill="1" applyBorder="1" applyAlignment="1" applyProtection="1">
      <alignment horizontal="center" vertical="center" wrapText="1"/>
    </xf>
    <xf numFmtId="0" fontId="61" fillId="21" borderId="63" xfId="0" applyFont="1" applyFill="1" applyBorder="1" applyAlignment="1" applyProtection="1">
      <alignment horizontal="left" vertical="center" wrapText="1"/>
    </xf>
    <xf numFmtId="166" fontId="29" fillId="21" borderId="63" xfId="0" applyNumberFormat="1" applyFont="1" applyFill="1" applyBorder="1" applyAlignment="1" applyProtection="1">
      <alignment horizontal="center" vertical="center" wrapText="1"/>
    </xf>
    <xf numFmtId="0" fontId="29" fillId="21" borderId="63" xfId="0" applyFont="1" applyFill="1" applyBorder="1" applyAlignment="1" applyProtection="1">
      <alignment vertical="center" wrapText="1"/>
    </xf>
    <xf numFmtId="166" fontId="61" fillId="19" borderId="63" xfId="0" applyNumberFormat="1" applyFont="1" applyFill="1" applyBorder="1" applyAlignment="1" applyProtection="1">
      <alignment horizontal="center" vertical="center" wrapText="1"/>
    </xf>
    <xf numFmtId="0" fontId="29" fillId="20" borderId="63" xfId="0" applyFont="1" applyFill="1" applyBorder="1" applyAlignment="1" applyProtection="1">
      <alignment vertical="center" wrapText="1"/>
    </xf>
    <xf numFmtId="0" fontId="61" fillId="21" borderId="63" xfId="0" applyFont="1" applyFill="1" applyBorder="1" applyAlignment="1" applyProtection="1">
      <alignment horizontal="center" vertical="center" wrapText="1"/>
    </xf>
    <xf numFmtId="0" fontId="17" fillId="25" borderId="62" xfId="0" applyFont="1" applyFill="1" applyBorder="1" applyAlignment="1" applyProtection="1">
      <alignment horizontal="center" vertical="center" wrapText="1"/>
    </xf>
    <xf numFmtId="0" fontId="17" fillId="25" borderId="0" xfId="0" applyFont="1" applyFill="1" applyBorder="1" applyAlignment="1" applyProtection="1">
      <alignment horizontal="center" vertical="center" wrapText="1"/>
    </xf>
    <xf numFmtId="0" fontId="35" fillId="6" borderId="29" xfId="0" applyFont="1" applyFill="1" applyBorder="1" applyAlignment="1">
      <alignment horizontal="right" vertical="center" wrapText="1"/>
    </xf>
    <xf numFmtId="1" fontId="0" fillId="6" borderId="0" xfId="0" applyNumberFormat="1" applyFill="1" applyAlignment="1">
      <alignment vertical="center"/>
    </xf>
    <xf numFmtId="0" fontId="0" fillId="0" borderId="1" xfId="0" applyNumberFormat="1" applyBorder="1" applyAlignment="1" applyProtection="1">
      <alignment horizontal="center" vertical="center"/>
    </xf>
    <xf numFmtId="0" fontId="0" fillId="0" borderId="0" xfId="0" applyNumberFormat="1" applyAlignment="1" applyProtection="1"/>
    <xf numFmtId="0" fontId="6" fillId="12" borderId="5" xfId="0" applyNumberFormat="1" applyFont="1" applyFill="1" applyBorder="1" applyAlignment="1" applyProtection="1">
      <alignment horizontal="center" vertical="center" wrapText="1"/>
    </xf>
    <xf numFmtId="166" fontId="60" fillId="26" borderId="65" xfId="0" applyNumberFormat="1" applyFont="1" applyFill="1" applyBorder="1" applyAlignment="1" applyProtection="1">
      <alignment horizontal="center" vertical="center" wrapText="1"/>
    </xf>
    <xf numFmtId="0" fontId="6" fillId="4" borderId="1" xfId="0" applyNumberFormat="1" applyFont="1" applyFill="1" applyBorder="1" applyAlignment="1" applyProtection="1">
      <alignment horizontal="center" vertical="center" wrapText="1"/>
    </xf>
    <xf numFmtId="0" fontId="3" fillId="0" borderId="0" xfId="0" applyNumberFormat="1" applyFont="1" applyAlignment="1" applyProtection="1">
      <alignment wrapText="1"/>
    </xf>
    <xf numFmtId="0" fontId="10" fillId="6" borderId="4" xfId="0" applyNumberFormat="1" applyFont="1" applyFill="1" applyBorder="1" applyAlignment="1" applyProtection="1">
      <alignment horizontal="left" vertical="center" wrapText="1"/>
    </xf>
    <xf numFmtId="0" fontId="12" fillId="6" borderId="4" xfId="0" applyNumberFormat="1" applyFont="1" applyFill="1" applyBorder="1" applyAlignment="1" applyProtection="1">
      <alignment horizontal="center" vertical="center" wrapText="1"/>
    </xf>
    <xf numFmtId="0" fontId="12" fillId="6" borderId="45" xfId="0" applyNumberFormat="1" applyFont="1" applyFill="1" applyBorder="1" applyAlignment="1" applyProtection="1">
      <alignment horizontal="left" vertical="center" wrapText="1"/>
    </xf>
    <xf numFmtId="0" fontId="12" fillId="6" borderId="44" xfId="0" applyNumberFormat="1" applyFont="1" applyFill="1" applyBorder="1" applyAlignment="1" applyProtection="1">
      <alignment horizontal="left" vertical="center" wrapText="1"/>
    </xf>
    <xf numFmtId="0" fontId="12" fillId="6" borderId="4" xfId="0" applyNumberFormat="1" applyFont="1" applyFill="1" applyBorder="1" applyAlignment="1" applyProtection="1">
      <alignment horizontal="left" vertical="center" wrapText="1"/>
    </xf>
    <xf numFmtId="49" fontId="12" fillId="6" borderId="44" xfId="0" applyNumberFormat="1" applyFont="1" applyFill="1" applyBorder="1" applyAlignment="1" applyProtection="1">
      <alignment horizontal="left" vertical="center" wrapText="1"/>
    </xf>
    <xf numFmtId="0" fontId="0" fillId="0" borderId="0" xfId="0" applyNumberFormat="1" applyAlignment="1" applyProtection="1">
      <alignment wrapText="1"/>
    </xf>
    <xf numFmtId="10" fontId="12" fillId="6" borderId="44" xfId="0" applyNumberFormat="1" applyFont="1" applyFill="1" applyBorder="1" applyAlignment="1" applyProtection="1">
      <alignment horizontal="left" vertical="center" wrapText="1"/>
    </xf>
    <xf numFmtId="0" fontId="11" fillId="6" borderId="44" xfId="0" applyNumberFormat="1" applyFont="1" applyFill="1" applyBorder="1" applyAlignment="1" applyProtection="1">
      <alignment horizontal="left" vertical="center" wrapText="1"/>
    </xf>
    <xf numFmtId="0" fontId="11" fillId="6" borderId="4" xfId="0" applyNumberFormat="1" applyFont="1" applyFill="1" applyBorder="1" applyAlignment="1" applyProtection="1">
      <alignment horizontal="left" vertical="center" wrapText="1"/>
    </xf>
    <xf numFmtId="0" fontId="11" fillId="6" borderId="45" xfId="0" applyNumberFormat="1" applyFont="1" applyFill="1" applyBorder="1" applyAlignment="1" applyProtection="1">
      <alignment horizontal="left" vertical="center" wrapText="1"/>
    </xf>
    <xf numFmtId="0" fontId="10" fillId="6" borderId="44" xfId="0" applyNumberFormat="1" applyFont="1" applyFill="1" applyBorder="1" applyAlignment="1" applyProtection="1">
      <alignment horizontal="left" vertical="center" wrapText="1"/>
    </xf>
    <xf numFmtId="165" fontId="10" fillId="6" borderId="4" xfId="0" applyNumberFormat="1" applyFont="1" applyFill="1" applyBorder="1" applyAlignment="1" applyProtection="1">
      <alignment horizontal="left" vertical="center" wrapText="1"/>
    </xf>
    <xf numFmtId="0" fontId="11" fillId="0" borderId="44" xfId="0" applyNumberFormat="1" applyFont="1" applyFill="1" applyBorder="1" applyAlignment="1" applyProtection="1">
      <alignment horizontal="left" vertical="center" wrapText="1"/>
    </xf>
    <xf numFmtId="0" fontId="10" fillId="6" borderId="45" xfId="0" applyNumberFormat="1" applyFont="1" applyFill="1" applyBorder="1" applyAlignment="1" applyProtection="1">
      <alignment horizontal="left" vertical="center" wrapText="1"/>
    </xf>
    <xf numFmtId="0" fontId="55" fillId="6" borderId="44" xfId="0" applyNumberFormat="1" applyFont="1" applyFill="1" applyBorder="1" applyAlignment="1" applyProtection="1">
      <alignment horizontal="left" vertical="center" wrapText="1"/>
    </xf>
    <xf numFmtId="9" fontId="12" fillId="6" borderId="44" xfId="0" applyNumberFormat="1" applyFont="1" applyFill="1" applyBorder="1" applyAlignment="1" applyProtection="1">
      <alignment horizontal="left" vertical="center" wrapText="1"/>
    </xf>
    <xf numFmtId="17" fontId="10" fillId="6"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12" fillId="0" borderId="45" xfId="0" applyNumberFormat="1" applyFont="1" applyFill="1" applyBorder="1" applyAlignment="1" applyProtection="1">
      <alignment horizontal="left" vertical="center" wrapText="1"/>
    </xf>
    <xf numFmtId="9" fontId="10" fillId="6" borderId="4" xfId="3" applyFont="1" applyFill="1" applyBorder="1" applyAlignment="1" applyProtection="1">
      <alignment horizontal="left" vertical="center" wrapText="1"/>
    </xf>
    <xf numFmtId="10" fontId="11" fillId="6" borderId="44" xfId="0" applyNumberFormat="1" applyFont="1" applyFill="1" applyBorder="1" applyAlignment="1" applyProtection="1">
      <alignment horizontal="left" vertical="center" wrapText="1"/>
    </xf>
    <xf numFmtId="0" fontId="58" fillId="6" borderId="4" xfId="0" applyNumberFormat="1" applyFont="1" applyFill="1" applyBorder="1" applyAlignment="1" applyProtection="1">
      <alignment horizontal="left" vertical="center" wrapText="1"/>
    </xf>
    <xf numFmtId="0" fontId="10" fillId="6" borderId="1" xfId="0" applyNumberFormat="1" applyFont="1" applyFill="1" applyBorder="1" applyAlignment="1" applyProtection="1">
      <alignment horizontal="left" vertical="center" wrapText="1"/>
    </xf>
    <xf numFmtId="0" fontId="20" fillId="6" borderId="45" xfId="1" applyNumberFormat="1" applyFill="1" applyBorder="1" applyAlignment="1" applyProtection="1">
      <alignment horizontal="left" vertical="center" wrapText="1"/>
    </xf>
    <xf numFmtId="0" fontId="12" fillId="0" borderId="4" xfId="0" applyNumberFormat="1" applyFont="1" applyFill="1" applyBorder="1" applyAlignment="1" applyProtection="1">
      <alignment horizontal="left" vertical="center" wrapText="1"/>
    </xf>
    <xf numFmtId="10" fontId="10" fillId="6" borderId="4" xfId="0" applyNumberFormat="1" applyFont="1" applyFill="1" applyBorder="1" applyAlignment="1" applyProtection="1">
      <alignment horizontal="left" vertical="center" wrapText="1"/>
    </xf>
    <xf numFmtId="9" fontId="10" fillId="0" borderId="4" xfId="0" applyNumberFormat="1" applyFont="1" applyFill="1" applyBorder="1" applyAlignment="1" applyProtection="1">
      <alignment horizontal="left" vertical="center" wrapText="1"/>
    </xf>
    <xf numFmtId="4" fontId="10" fillId="6" borderId="4" xfId="0" applyNumberFormat="1" applyFont="1" applyFill="1" applyBorder="1" applyAlignment="1" applyProtection="1">
      <alignment horizontal="left" vertical="center" wrapText="1"/>
    </xf>
    <xf numFmtId="3" fontId="10" fillId="6" borderId="4" xfId="0" applyNumberFormat="1" applyFont="1" applyFill="1" applyBorder="1" applyAlignment="1" applyProtection="1">
      <alignment horizontal="left" vertical="center" wrapText="1"/>
    </xf>
    <xf numFmtId="9" fontId="10" fillId="6" borderId="4" xfId="0" applyNumberFormat="1" applyFont="1" applyFill="1" applyBorder="1" applyAlignment="1" applyProtection="1">
      <alignment horizontal="left" vertical="center" wrapText="1"/>
    </xf>
    <xf numFmtId="0" fontId="9" fillId="0" borderId="1" xfId="0" applyNumberFormat="1" applyFont="1" applyBorder="1" applyAlignment="1" applyProtection="1">
      <alignment horizontal="left" vertical="center" wrapText="1"/>
    </xf>
    <xf numFmtId="0" fontId="12" fillId="6" borderId="44" xfId="0" applyNumberFormat="1" applyFont="1" applyFill="1" applyBorder="1" applyAlignment="1" applyProtection="1">
      <alignment horizontal="center" vertical="center" wrapText="1"/>
    </xf>
    <xf numFmtId="0" fontId="6" fillId="28" borderId="5" xfId="0" applyNumberFormat="1" applyFont="1" applyFill="1" applyBorder="1" applyAlignment="1" applyProtection="1">
      <alignment horizontal="center" vertical="center" wrapText="1"/>
    </xf>
    <xf numFmtId="0" fontId="11" fillId="6" borderId="4" xfId="0" quotePrefix="1" applyNumberFormat="1" applyFont="1" applyFill="1" applyBorder="1" applyAlignment="1" applyProtection="1">
      <alignment horizontal="left" vertical="center" wrapText="1"/>
    </xf>
    <xf numFmtId="0" fontId="11" fillId="6" borderId="44" xfId="0" quotePrefix="1" applyNumberFormat="1" applyFont="1" applyFill="1" applyBorder="1" applyAlignment="1" applyProtection="1">
      <alignment horizontal="left" vertical="center" wrapText="1"/>
    </xf>
    <xf numFmtId="9" fontId="12" fillId="6" borderId="4" xfId="0" applyNumberFormat="1" applyFont="1" applyFill="1" applyBorder="1" applyAlignment="1" applyProtection="1">
      <alignment horizontal="left" vertical="center" wrapText="1"/>
    </xf>
    <xf numFmtId="10" fontId="11" fillId="6" borderId="44" xfId="3"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wrapText="1"/>
    </xf>
    <xf numFmtId="0" fontId="56" fillId="6" borderId="45" xfId="0" applyNumberFormat="1" applyFont="1" applyFill="1" applyBorder="1" applyAlignment="1" applyProtection="1">
      <alignment horizontal="left" vertical="center" wrapText="1"/>
    </xf>
    <xf numFmtId="10" fontId="11" fillId="6" borderId="4" xfId="0" applyNumberFormat="1" applyFont="1" applyFill="1" applyBorder="1" applyAlignment="1" applyProtection="1">
      <alignment horizontal="left" vertical="center" wrapText="1"/>
    </xf>
    <xf numFmtId="10" fontId="12" fillId="6" borderId="45" xfId="0" applyNumberFormat="1" applyFont="1" applyFill="1" applyBorder="1" applyAlignment="1" applyProtection="1">
      <alignment horizontal="left" vertical="center" wrapText="1"/>
    </xf>
    <xf numFmtId="0" fontId="0" fillId="0" borderId="45" xfId="0" applyNumberFormat="1" applyBorder="1" applyAlignment="1" applyProtection="1">
      <alignment horizontal="left" vertical="center" wrapText="1"/>
    </xf>
    <xf numFmtId="9" fontId="10" fillId="6" borderId="44" xfId="3" applyFont="1" applyFill="1" applyBorder="1" applyAlignment="1" applyProtection="1">
      <alignment horizontal="left" vertical="center" wrapText="1"/>
    </xf>
    <xf numFmtId="10" fontId="11" fillId="0" borderId="44" xfId="0" applyNumberFormat="1" applyFont="1" applyFill="1" applyBorder="1" applyAlignment="1" applyProtection="1">
      <alignment horizontal="left" vertical="center" wrapText="1"/>
    </xf>
    <xf numFmtId="8" fontId="12" fillId="6" borderId="44" xfId="0" applyNumberFormat="1" applyFont="1" applyFill="1" applyBorder="1" applyAlignment="1" applyProtection="1">
      <alignment horizontal="left" vertical="center" wrapText="1"/>
    </xf>
    <xf numFmtId="8" fontId="12" fillId="6" borderId="4" xfId="0" applyNumberFormat="1" applyFont="1" applyFill="1" applyBorder="1" applyAlignment="1" applyProtection="1">
      <alignment horizontal="left" vertical="center" wrapText="1"/>
    </xf>
    <xf numFmtId="4" fontId="12" fillId="6" borderId="44" xfId="0" applyNumberFormat="1" applyFont="1" applyFill="1" applyBorder="1" applyAlignment="1" applyProtection="1">
      <alignment horizontal="left" vertical="center" wrapText="1"/>
    </xf>
    <xf numFmtId="0" fontId="12" fillId="29" borderId="45" xfId="0" applyNumberFormat="1" applyFont="1" applyFill="1" applyBorder="1" applyAlignment="1" applyProtection="1">
      <alignment horizontal="left" vertical="center" wrapText="1"/>
    </xf>
    <xf numFmtId="0" fontId="12" fillId="0" borderId="44" xfId="0" applyNumberFormat="1" applyFont="1" applyFill="1" applyBorder="1" applyAlignment="1" applyProtection="1">
      <alignment horizontal="left" vertical="center" wrapText="1"/>
    </xf>
    <xf numFmtId="10" fontId="10" fillId="6" borderId="45" xfId="0" applyNumberFormat="1" applyFont="1" applyFill="1" applyBorder="1" applyAlignment="1" applyProtection="1">
      <alignment horizontal="left" vertical="center" wrapText="1"/>
    </xf>
    <xf numFmtId="10" fontId="12" fillId="0" borderId="4" xfId="0" applyNumberFormat="1" applyFont="1" applyFill="1" applyBorder="1" applyAlignment="1" applyProtection="1">
      <alignment horizontal="left" vertical="center" wrapText="1"/>
    </xf>
    <xf numFmtId="10" fontId="4" fillId="0" borderId="12" xfId="0" applyNumberFormat="1" applyFont="1" applyFill="1" applyBorder="1" applyAlignment="1" applyProtection="1">
      <alignment horizontal="center" vertical="center" wrapText="1"/>
    </xf>
    <xf numFmtId="17" fontId="10" fillId="6" borderId="44" xfId="0" applyNumberFormat="1" applyFont="1" applyFill="1" applyBorder="1" applyAlignment="1" applyProtection="1">
      <alignment horizontal="left" vertical="center" wrapText="1"/>
    </xf>
    <xf numFmtId="164" fontId="0" fillId="0" borderId="2" xfId="0" applyNumberFormat="1" applyBorder="1" applyAlignment="1" applyProtection="1">
      <alignment horizontal="center" vertical="center" wrapText="1"/>
    </xf>
    <xf numFmtId="166" fontId="29" fillId="27" borderId="0" xfId="0" applyNumberFormat="1" applyFont="1" applyFill="1" applyBorder="1" applyAlignment="1" applyProtection="1">
      <alignment horizontal="center" vertical="center" wrapText="1"/>
    </xf>
    <xf numFmtId="166" fontId="60" fillId="26" borderId="0" xfId="0" applyNumberFormat="1" applyFont="1" applyFill="1" applyBorder="1" applyAlignment="1" applyProtection="1">
      <alignment horizontal="center" vertical="center" wrapText="1"/>
    </xf>
    <xf numFmtId="10" fontId="11" fillId="6" borderId="4" xfId="3" applyNumberFormat="1" applyFont="1" applyFill="1" applyBorder="1" applyAlignment="1" applyProtection="1">
      <alignment horizontal="left" vertical="center" wrapText="1"/>
    </xf>
    <xf numFmtId="165" fontId="10" fillId="6" borderId="44" xfId="0" applyNumberFormat="1" applyFont="1" applyFill="1" applyBorder="1" applyAlignment="1" applyProtection="1">
      <alignment horizontal="left" vertical="center" wrapText="1"/>
    </xf>
    <xf numFmtId="10" fontId="11" fillId="0" borderId="4" xfId="0" applyNumberFormat="1" applyFont="1" applyFill="1" applyBorder="1" applyAlignment="1" applyProtection="1">
      <alignment horizontal="left" vertical="center" wrapText="1"/>
    </xf>
    <xf numFmtId="49" fontId="12" fillId="6" borderId="4" xfId="0" applyNumberFormat="1" applyFont="1" applyFill="1" applyBorder="1" applyAlignment="1" applyProtection="1">
      <alignment horizontal="left" vertical="center" wrapText="1"/>
    </xf>
    <xf numFmtId="6" fontId="11" fillId="0" borderId="44" xfId="0" applyNumberFormat="1" applyFont="1" applyFill="1" applyBorder="1" applyAlignment="1" applyProtection="1">
      <alignment horizontal="left" vertical="center" wrapText="1"/>
    </xf>
    <xf numFmtId="49" fontId="12" fillId="0" borderId="44" xfId="0" applyNumberFormat="1" applyFont="1" applyFill="1" applyBorder="1" applyAlignment="1" applyProtection="1">
      <alignment horizontal="left" vertical="center" wrapText="1"/>
    </xf>
    <xf numFmtId="49" fontId="12" fillId="6" borderId="51" xfId="0" applyNumberFormat="1" applyFont="1" applyFill="1" applyBorder="1" applyAlignment="1" applyProtection="1">
      <alignment horizontal="left" vertical="center" wrapText="1"/>
    </xf>
    <xf numFmtId="49" fontId="12" fillId="6" borderId="52" xfId="0" applyNumberFormat="1" applyFont="1" applyFill="1" applyBorder="1" applyAlignment="1" applyProtection="1">
      <alignment horizontal="left" vertical="center" wrapText="1"/>
    </xf>
    <xf numFmtId="49" fontId="12" fillId="6" borderId="45" xfId="0" applyNumberFormat="1" applyFont="1" applyFill="1" applyBorder="1" applyAlignment="1" applyProtection="1">
      <alignment horizontal="left" vertical="center" wrapText="1"/>
    </xf>
    <xf numFmtId="0" fontId="6" fillId="23" borderId="5" xfId="0" applyNumberFormat="1" applyFont="1" applyFill="1" applyBorder="1" applyAlignment="1" applyProtection="1">
      <alignment horizontal="center" vertical="center" wrapText="1"/>
      <protection locked="0"/>
    </xf>
    <xf numFmtId="0" fontId="2" fillId="6" borderId="44" xfId="0" applyNumberFormat="1" applyFont="1" applyFill="1" applyBorder="1" applyAlignment="1" applyProtection="1">
      <alignment horizontal="left" vertical="center" wrapText="1"/>
      <protection locked="0"/>
    </xf>
    <xf numFmtId="0" fontId="11" fillId="0" borderId="44" xfId="0" applyNumberFormat="1" applyFont="1" applyFill="1" applyBorder="1" applyAlignment="1" applyProtection="1">
      <alignment horizontal="left" vertical="center" wrapText="1"/>
      <protection locked="0"/>
    </xf>
    <xf numFmtId="0" fontId="1" fillId="0" borderId="44" xfId="0" applyNumberFormat="1" applyFont="1" applyFill="1" applyBorder="1" applyAlignment="1" applyProtection="1">
      <alignment horizontal="left" vertical="center" wrapText="1"/>
      <protection locked="0"/>
    </xf>
    <xf numFmtId="49" fontId="1" fillId="6" borderId="44" xfId="0" applyNumberFormat="1" applyFont="1" applyFill="1" applyBorder="1" applyAlignment="1" applyProtection="1">
      <alignment horizontal="left" vertical="center" wrapText="1"/>
    </xf>
    <xf numFmtId="0" fontId="12" fillId="29" borderId="44" xfId="0" applyNumberFormat="1" applyFont="1" applyFill="1" applyBorder="1" applyAlignment="1" applyProtection="1">
      <alignment horizontal="left" vertical="center" wrapText="1"/>
    </xf>
    <xf numFmtId="0" fontId="12" fillId="29" borderId="4" xfId="0" applyNumberFormat="1" applyFont="1" applyFill="1" applyBorder="1" applyAlignment="1" applyProtection="1">
      <alignment horizontal="left" vertical="center" wrapText="1"/>
    </xf>
    <xf numFmtId="0" fontId="12" fillId="29" borderId="4" xfId="0" applyNumberFormat="1" applyFont="1" applyFill="1" applyBorder="1" applyAlignment="1" applyProtection="1">
      <alignment horizontal="center" vertical="center" wrapText="1"/>
    </xf>
    <xf numFmtId="49" fontId="12" fillId="29" borderId="44" xfId="0" applyNumberFormat="1" applyFont="1" applyFill="1" applyBorder="1" applyAlignment="1" applyProtection="1">
      <alignment horizontal="left" vertical="center" wrapText="1"/>
    </xf>
    <xf numFmtId="49" fontId="12" fillId="29" borderId="4" xfId="0" applyNumberFormat="1" applyFont="1" applyFill="1" applyBorder="1" applyAlignment="1" applyProtection="1">
      <alignment horizontal="left" vertical="center" wrapText="1"/>
    </xf>
    <xf numFmtId="0" fontId="1" fillId="6" borderId="44" xfId="0" applyNumberFormat="1" applyFont="1" applyFill="1" applyBorder="1" applyAlignment="1" applyProtection="1">
      <alignment horizontal="left" vertical="center" wrapText="1"/>
    </xf>
    <xf numFmtId="9" fontId="12" fillId="29" borderId="44" xfId="0" applyNumberFormat="1" applyFont="1" applyFill="1" applyBorder="1" applyAlignment="1" applyProtection="1">
      <alignment horizontal="left" vertical="center" wrapText="1"/>
    </xf>
    <xf numFmtId="49" fontId="1" fillId="0" borderId="44"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0" borderId="44" xfId="0" applyNumberFormat="1" applyFont="1" applyFill="1" applyBorder="1" applyAlignment="1" applyProtection="1">
      <alignment horizontal="left" vertical="center" wrapText="1"/>
      <protection locked="0"/>
    </xf>
    <xf numFmtId="0" fontId="2" fillId="0" borderId="45" xfId="0" applyNumberFormat="1" applyFont="1" applyFill="1" applyBorder="1" applyAlignment="1" applyProtection="1">
      <alignment horizontal="left" vertical="center" wrapText="1"/>
      <protection locked="0"/>
    </xf>
    <xf numFmtId="9" fontId="12" fillId="0" borderId="4" xfId="0" applyNumberFormat="1" applyFont="1" applyFill="1" applyBorder="1" applyAlignment="1" applyProtection="1">
      <alignment horizontal="left" vertical="center" wrapText="1"/>
      <protection locked="0"/>
    </xf>
    <xf numFmtId="9" fontId="12" fillId="0" borderId="4" xfId="0" applyNumberFormat="1" applyFont="1" applyFill="1" applyBorder="1" applyAlignment="1" applyProtection="1">
      <alignment horizontal="center" vertical="center" wrapText="1"/>
      <protection locked="0"/>
    </xf>
    <xf numFmtId="0" fontId="1" fillId="0" borderId="45"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center" vertical="center" wrapText="1"/>
    </xf>
    <xf numFmtId="0" fontId="17" fillId="0" borderId="62"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0" fillId="0" borderId="0" xfId="0" applyNumberFormat="1" applyFill="1" applyAlignment="1" applyProtection="1">
      <alignment wrapText="1"/>
    </xf>
    <xf numFmtId="0" fontId="11" fillId="0" borderId="4" xfId="0" applyNumberFormat="1" applyFont="1" applyFill="1" applyBorder="1" applyAlignment="1" applyProtection="1">
      <alignment horizontal="left" vertical="center" wrapText="1"/>
      <protection locked="0"/>
    </xf>
    <xf numFmtId="0" fontId="11" fillId="0" borderId="45" xfId="0" applyNumberFormat="1" applyFont="1" applyFill="1" applyBorder="1" applyAlignment="1" applyProtection="1">
      <alignment horizontal="left" vertical="center" wrapText="1"/>
      <protection locked="0"/>
    </xf>
    <xf numFmtId="0" fontId="12" fillId="0" borderId="4" xfId="0" applyNumberFormat="1" applyFont="1" applyFill="1" applyBorder="1" applyAlignment="1" applyProtection="1">
      <alignment horizontal="left" vertical="center" wrapText="1"/>
      <protection locked="0"/>
    </xf>
    <xf numFmtId="10" fontId="1" fillId="0" borderId="44" xfId="0" applyNumberFormat="1" applyFont="1" applyFill="1" applyBorder="1" applyAlignment="1" applyProtection="1">
      <alignment horizontal="left" vertical="center" wrapText="1"/>
      <protection locked="0"/>
    </xf>
    <xf numFmtId="0" fontId="11" fillId="0" borderId="4" xfId="0" applyNumberFormat="1" applyFont="1" applyFill="1" applyBorder="1" applyAlignment="1" applyProtection="1">
      <alignment horizontal="center" vertical="center" wrapText="1"/>
      <protection locked="0"/>
    </xf>
    <xf numFmtId="0" fontId="12" fillId="0" borderId="45" xfId="0"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horizontal="center" vertical="center" wrapText="1"/>
    </xf>
    <xf numFmtId="0" fontId="12" fillId="0" borderId="44" xfId="0" applyNumberFormat="1" applyFont="1" applyFill="1" applyBorder="1" applyAlignment="1" applyProtection="1">
      <alignment horizontal="left" vertical="center" wrapText="1"/>
      <protection locked="0"/>
    </xf>
    <xf numFmtId="8" fontId="11" fillId="0" borderId="44" xfId="0" applyNumberFormat="1" applyFont="1" applyFill="1" applyBorder="1" applyAlignment="1" applyProtection="1">
      <alignment horizontal="left" vertical="center" wrapText="1"/>
      <protection locked="0"/>
    </xf>
    <xf numFmtId="8" fontId="11" fillId="0" borderId="4" xfId="0" applyNumberFormat="1" applyFont="1" applyFill="1" applyBorder="1" applyAlignment="1" applyProtection="1">
      <alignment horizontal="left" vertical="center" wrapText="1"/>
      <protection locked="0"/>
    </xf>
    <xf numFmtId="0" fontId="10" fillId="0" borderId="45" xfId="0" applyNumberFormat="1" applyFont="1" applyFill="1" applyBorder="1" applyAlignment="1" applyProtection="1">
      <alignment horizontal="left" vertical="center" wrapText="1"/>
      <protection locked="0"/>
    </xf>
    <xf numFmtId="9" fontId="11" fillId="0" borderId="44" xfId="0" applyNumberFormat="1" applyFont="1" applyFill="1" applyBorder="1" applyAlignment="1" applyProtection="1">
      <alignment horizontal="left" vertical="center" wrapText="1"/>
      <protection locked="0"/>
    </xf>
    <xf numFmtId="49" fontId="12" fillId="0" borderId="44" xfId="0" applyNumberFormat="1" applyFont="1" applyFill="1" applyBorder="1" applyAlignment="1" applyProtection="1">
      <alignment horizontal="left" vertical="center" wrapText="1"/>
      <protection locked="0"/>
    </xf>
    <xf numFmtId="8" fontId="2" fillId="0" borderId="44" xfId="0" applyNumberFormat="1" applyFont="1" applyFill="1" applyBorder="1" applyAlignment="1" applyProtection="1">
      <alignment horizontal="left" vertical="center" wrapText="1"/>
      <protection locked="0"/>
    </xf>
    <xf numFmtId="8" fontId="1" fillId="0" borderId="44" xfId="0" applyNumberFormat="1" applyFont="1" applyFill="1" applyBorder="1" applyAlignment="1" applyProtection="1">
      <alignment horizontal="left" vertical="center" wrapText="1"/>
      <protection locked="0"/>
    </xf>
    <xf numFmtId="0" fontId="17" fillId="0" borderId="66" xfId="0" applyFont="1" applyFill="1" applyBorder="1" applyAlignment="1" applyProtection="1">
      <alignment horizontal="center" vertical="center" wrapText="1"/>
    </xf>
    <xf numFmtId="0" fontId="17" fillId="0" borderId="67" xfId="0" applyFont="1" applyFill="1" applyBorder="1" applyAlignment="1" applyProtection="1">
      <alignment horizontal="center" vertical="center" wrapText="1"/>
    </xf>
    <xf numFmtId="10" fontId="2" fillId="0" borderId="44" xfId="0" applyNumberFormat="1" applyFont="1" applyFill="1" applyBorder="1" applyAlignment="1" applyProtection="1">
      <alignment horizontal="left" vertical="center" wrapText="1"/>
      <protection locked="0"/>
    </xf>
    <xf numFmtId="10" fontId="11" fillId="0" borderId="44" xfId="0" applyNumberFormat="1" applyFont="1" applyFill="1" applyBorder="1" applyAlignment="1" applyProtection="1">
      <alignment horizontal="left" vertical="center" wrapText="1"/>
      <protection locked="0"/>
    </xf>
    <xf numFmtId="10" fontId="10" fillId="0" borderId="4" xfId="0" applyNumberFormat="1"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horizontal="left" vertical="center" wrapText="1"/>
      <protection locked="0"/>
    </xf>
    <xf numFmtId="9" fontId="11" fillId="0" borderId="4" xfId="0" applyNumberFormat="1" applyFont="1" applyFill="1" applyBorder="1" applyAlignment="1" applyProtection="1">
      <alignment horizontal="center" vertical="center" wrapText="1"/>
      <protection locked="0"/>
    </xf>
    <xf numFmtId="0" fontId="29" fillId="0" borderId="62" xfId="0"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pplyProtection="1">
      <alignment horizontal="center" vertical="center" wrapText="1"/>
      <protection locked="0"/>
    </xf>
    <xf numFmtId="49" fontId="2" fillId="0" borderId="44" xfId="0" applyNumberFormat="1" applyFont="1" applyFill="1" applyBorder="1" applyAlignment="1" applyProtection="1">
      <alignment horizontal="left" vertical="center" wrapText="1"/>
      <protection locked="0"/>
    </xf>
    <xf numFmtId="0" fontId="55" fillId="0" borderId="44" xfId="0" applyNumberFormat="1" applyFont="1" applyFill="1" applyBorder="1" applyAlignment="1" applyProtection="1">
      <alignment horizontal="left" vertical="center" wrapText="1"/>
      <protection locked="0"/>
    </xf>
    <xf numFmtId="0" fontId="10" fillId="0" borderId="44" xfId="0" applyNumberFormat="1" applyFont="1" applyFill="1" applyBorder="1" applyAlignment="1" applyProtection="1">
      <alignment horizontal="left" vertical="center" wrapText="1"/>
      <protection locked="0"/>
    </xf>
    <xf numFmtId="9" fontId="1" fillId="0" borderId="44" xfId="0" applyNumberFormat="1" applyFont="1" applyFill="1" applyBorder="1" applyAlignment="1" applyProtection="1">
      <alignment horizontal="left" vertical="center" wrapText="1"/>
      <protection locked="0"/>
    </xf>
    <xf numFmtId="9" fontId="12" fillId="0" borderId="44" xfId="0" applyNumberFormat="1" applyFont="1" applyFill="1" applyBorder="1" applyAlignment="1" applyProtection="1">
      <alignment horizontal="center" vertical="center" wrapText="1"/>
      <protection locked="0"/>
    </xf>
    <xf numFmtId="10" fontId="11" fillId="0" borderId="4" xfId="0" applyNumberFormat="1" applyFont="1" applyFill="1" applyBorder="1" applyAlignment="1" applyProtection="1">
      <alignment horizontal="center" vertical="center" wrapText="1"/>
      <protection locked="0"/>
    </xf>
    <xf numFmtId="10" fontId="11" fillId="0" borderId="4" xfId="0" applyNumberFormat="1" applyFont="1" applyFill="1" applyBorder="1" applyAlignment="1" applyProtection="1">
      <alignment horizontal="left" vertical="center" wrapText="1"/>
      <protection locked="0"/>
    </xf>
    <xf numFmtId="49" fontId="1" fillId="0" borderId="4" xfId="0" applyNumberFormat="1" applyFont="1" applyFill="1" applyBorder="1" applyAlignment="1" applyProtection="1">
      <alignment horizontal="left" vertical="center" wrapText="1"/>
      <protection locked="0"/>
    </xf>
    <xf numFmtId="0" fontId="2" fillId="0" borderId="44" xfId="0" applyFont="1" applyFill="1" applyBorder="1" applyAlignment="1" applyProtection="1">
      <alignment vertical="center" wrapText="1"/>
      <protection locked="0"/>
    </xf>
    <xf numFmtId="9" fontId="11" fillId="0" borderId="4" xfId="0" applyNumberFormat="1" applyFont="1" applyFill="1" applyBorder="1" applyAlignment="1" applyProtection="1">
      <alignment horizontal="left" vertical="center" wrapText="1"/>
      <protection locked="0"/>
    </xf>
    <xf numFmtId="0" fontId="55" fillId="0" borderId="4" xfId="0" applyNumberFormat="1" applyFont="1" applyFill="1" applyBorder="1" applyAlignment="1" applyProtection="1">
      <alignment horizontal="left" vertical="center" wrapText="1"/>
      <protection locked="0"/>
    </xf>
    <xf numFmtId="0" fontId="0" fillId="0" borderId="1" xfId="0" applyNumberFormat="1" applyFill="1" applyBorder="1" applyAlignment="1" applyProtection="1">
      <alignment horizontal="left" vertical="center" wrapText="1"/>
    </xf>
    <xf numFmtId="0" fontId="0" fillId="0" borderId="1" xfId="0" applyNumberForma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11" fillId="29" borderId="4" xfId="0" applyNumberFormat="1" applyFont="1" applyFill="1" applyBorder="1" applyAlignment="1" applyProtection="1">
      <alignment horizontal="center" vertical="center" wrapText="1"/>
      <protection locked="0"/>
    </xf>
    <xf numFmtId="166" fontId="29" fillId="27" borderId="68" xfId="0" applyNumberFormat="1" applyFont="1" applyFill="1" applyBorder="1" applyAlignment="1" applyProtection="1">
      <alignment horizontal="center" vertical="center" wrapText="1"/>
    </xf>
    <xf numFmtId="166" fontId="29" fillId="27" borderId="0" xfId="0" applyNumberFormat="1" applyFont="1" applyFill="1" applyBorder="1" applyAlignment="1" applyProtection="1">
      <alignment horizontal="center" vertical="center" wrapText="1"/>
    </xf>
    <xf numFmtId="166" fontId="29" fillId="27" borderId="69" xfId="0" applyNumberFormat="1" applyFont="1" applyFill="1" applyBorder="1" applyAlignment="1" applyProtection="1">
      <alignment horizontal="center" vertical="center" wrapText="1"/>
    </xf>
    <xf numFmtId="0" fontId="6" fillId="12" borderId="1" xfId="0" applyNumberFormat="1" applyFont="1" applyFill="1" applyBorder="1" applyAlignment="1" applyProtection="1">
      <alignment horizontal="center" vertical="center"/>
    </xf>
    <xf numFmtId="0" fontId="6" fillId="28" borderId="1" xfId="0" applyNumberFormat="1" applyFont="1" applyFill="1" applyBorder="1" applyAlignment="1" applyProtection="1">
      <alignment horizontal="center" vertical="center"/>
    </xf>
    <xf numFmtId="0" fontId="6" fillId="23" borderId="1" xfId="0" applyNumberFormat="1" applyFont="1" applyFill="1" applyBorder="1" applyAlignment="1" applyProtection="1">
      <alignment horizontal="center" vertical="center"/>
    </xf>
    <xf numFmtId="166" fontId="60" fillId="26" borderId="68" xfId="0" applyNumberFormat="1" applyFont="1" applyFill="1" applyBorder="1" applyAlignment="1" applyProtection="1">
      <alignment horizontal="center" vertical="center" wrapText="1"/>
    </xf>
    <xf numFmtId="166" fontId="60" fillId="26" borderId="0" xfId="0" applyNumberFormat="1" applyFont="1" applyFill="1" applyBorder="1" applyAlignment="1" applyProtection="1">
      <alignment horizontal="center" vertical="center" wrapText="1"/>
    </xf>
    <xf numFmtId="166" fontId="60" fillId="26" borderId="69" xfId="0" applyNumberFormat="1" applyFont="1" applyFill="1" applyBorder="1" applyAlignment="1" applyProtection="1">
      <alignment horizontal="center" vertical="center" wrapText="1"/>
    </xf>
    <xf numFmtId="0" fontId="23" fillId="6" borderId="20"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32" fillId="14" borderId="21" xfId="0" applyFont="1" applyFill="1" applyBorder="1" applyAlignment="1">
      <alignment horizontal="center" vertical="center" wrapText="1"/>
    </xf>
    <xf numFmtId="0" fontId="32" fillId="14" borderId="22" xfId="0" applyFont="1" applyFill="1" applyBorder="1" applyAlignment="1">
      <alignment horizontal="center" vertical="center" wrapText="1"/>
    </xf>
    <xf numFmtId="0" fontId="33" fillId="8" borderId="23"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2" fillId="9" borderId="34" xfId="0" applyFont="1" applyFill="1" applyBorder="1" applyAlignment="1">
      <alignment horizontal="center" vertical="center" wrapText="1"/>
    </xf>
    <xf numFmtId="10" fontId="4" fillId="0" borderId="12" xfId="0" applyNumberFormat="1" applyFont="1" applyFill="1" applyBorder="1" applyAlignment="1" applyProtection="1">
      <alignment horizontal="center" vertical="center" wrapText="1"/>
    </xf>
    <xf numFmtId="10" fontId="19" fillId="9" borderId="12" xfId="0" applyNumberFormat="1" applyFont="1" applyFill="1" applyBorder="1" applyAlignment="1" applyProtection="1">
      <alignment horizontal="center" vertical="center" wrapText="1"/>
    </xf>
    <xf numFmtId="10" fontId="19" fillId="10" borderId="12" xfId="0" applyNumberFormat="1" applyFont="1" applyFill="1" applyBorder="1" applyAlignment="1" applyProtection="1">
      <alignment horizontal="center" vertical="center" wrapText="1"/>
    </xf>
    <xf numFmtId="10" fontId="4" fillId="0" borderId="13" xfId="0" applyNumberFormat="1" applyFont="1" applyFill="1" applyBorder="1" applyAlignment="1" applyProtection="1">
      <alignment horizontal="center" vertical="center" wrapText="1"/>
    </xf>
    <xf numFmtId="10" fontId="4" fillId="0" borderId="14" xfId="0" applyNumberFormat="1" applyFont="1" applyFill="1" applyBorder="1" applyAlignment="1" applyProtection="1">
      <alignment horizontal="center" vertical="center" wrapText="1"/>
    </xf>
    <xf numFmtId="10" fontId="4" fillId="0" borderId="15" xfId="0" applyNumberFormat="1" applyFont="1" applyFill="1" applyBorder="1" applyAlignment="1" applyProtection="1">
      <alignment horizontal="center" vertical="center" wrapText="1"/>
    </xf>
    <xf numFmtId="10" fontId="18" fillId="8" borderId="13" xfId="0" applyNumberFormat="1" applyFont="1" applyFill="1" applyBorder="1" applyAlignment="1" applyProtection="1">
      <alignment horizontal="center" vertical="center" wrapText="1"/>
    </xf>
    <xf numFmtId="10" fontId="18" fillId="8" borderId="14" xfId="0" applyNumberFormat="1" applyFont="1" applyFill="1" applyBorder="1" applyAlignment="1" applyProtection="1">
      <alignment horizontal="center" vertical="center" wrapText="1"/>
    </xf>
    <xf numFmtId="10" fontId="18" fillId="8" borderId="15" xfId="0" applyNumberFormat="1" applyFont="1" applyFill="1" applyBorder="1" applyAlignment="1" applyProtection="1">
      <alignment horizontal="center" vertical="center" wrapText="1"/>
    </xf>
    <xf numFmtId="10" fontId="18" fillId="8" borderId="12" xfId="0" applyNumberFormat="1" applyFont="1" applyFill="1" applyBorder="1" applyAlignment="1" applyProtection="1">
      <alignment horizontal="center" vertical="center" wrapText="1"/>
    </xf>
    <xf numFmtId="0" fontId="7" fillId="11" borderId="13" xfId="0" applyFont="1" applyFill="1" applyBorder="1" applyAlignment="1" applyProtection="1">
      <alignment vertical="center" wrapText="1"/>
    </xf>
    <xf numFmtId="0" fontId="7" fillId="11" borderId="14" xfId="0" applyFont="1" applyFill="1" applyBorder="1" applyAlignment="1" applyProtection="1">
      <alignment vertical="center" wrapText="1"/>
    </xf>
    <xf numFmtId="0" fontId="7" fillId="11" borderId="15" xfId="0" applyFont="1" applyFill="1" applyBorder="1" applyAlignment="1" applyProtection="1">
      <alignment vertical="center" wrapText="1"/>
    </xf>
    <xf numFmtId="0" fontId="7" fillId="0" borderId="18"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10" fontId="25" fillId="0" borderId="0" xfId="0" applyNumberFormat="1" applyFont="1" applyFill="1" applyAlignment="1" applyProtection="1">
      <alignment horizontal="center" vertical="center"/>
    </xf>
    <xf numFmtId="0" fontId="25" fillId="0" borderId="0" xfId="0" applyFont="1" applyFill="1" applyAlignment="1" applyProtection="1">
      <alignment horizontal="center" vertical="center"/>
    </xf>
    <xf numFmtId="10" fontId="19" fillId="6" borderId="0" xfId="0" applyNumberFormat="1" applyFont="1" applyFill="1" applyBorder="1" applyAlignment="1" applyProtection="1">
      <alignment horizontal="center" vertical="center" wrapText="1"/>
    </xf>
    <xf numFmtId="10" fontId="19" fillId="10" borderId="18" xfId="0" applyNumberFormat="1" applyFont="1" applyFill="1" applyBorder="1" applyAlignment="1" applyProtection="1">
      <alignment horizontal="center" vertical="center" wrapText="1"/>
    </xf>
    <xf numFmtId="10" fontId="19" fillId="10" borderId="47" xfId="0" applyNumberFormat="1" applyFont="1" applyFill="1" applyBorder="1" applyAlignment="1" applyProtection="1">
      <alignment horizontal="center" vertical="center" wrapText="1"/>
    </xf>
    <xf numFmtId="0" fontId="23" fillId="13" borderId="0" xfId="0" applyFont="1" applyFill="1" applyBorder="1" applyAlignment="1">
      <alignment horizontal="left" vertical="center" wrapText="1"/>
    </xf>
    <xf numFmtId="10" fontId="4" fillId="0" borderId="36" xfId="0" applyNumberFormat="1" applyFont="1" applyFill="1" applyBorder="1" applyAlignment="1" applyProtection="1">
      <alignment horizontal="center" vertical="center" wrapText="1"/>
    </xf>
    <xf numFmtId="10" fontId="19" fillId="9" borderId="36" xfId="0" applyNumberFormat="1" applyFont="1" applyFill="1" applyBorder="1" applyAlignment="1" applyProtection="1">
      <alignment horizontal="center" vertical="center" wrapText="1"/>
    </xf>
    <xf numFmtId="10" fontId="19" fillId="15" borderId="36" xfId="0" applyNumberFormat="1" applyFont="1" applyFill="1" applyBorder="1" applyAlignment="1" applyProtection="1">
      <alignment horizontal="center" vertical="center" wrapText="1"/>
    </xf>
    <xf numFmtId="10" fontId="4" fillId="0" borderId="37" xfId="0" applyNumberFormat="1" applyFont="1" applyFill="1" applyBorder="1" applyAlignment="1" applyProtection="1">
      <alignment horizontal="center" vertical="center" wrapText="1"/>
    </xf>
    <xf numFmtId="10" fontId="4" fillId="0" borderId="38" xfId="0" applyNumberFormat="1" applyFont="1" applyFill="1" applyBorder="1" applyAlignment="1" applyProtection="1">
      <alignment horizontal="center" vertical="center" wrapText="1"/>
    </xf>
    <xf numFmtId="10" fontId="4" fillId="0" borderId="39" xfId="0" applyNumberFormat="1" applyFont="1" applyFill="1" applyBorder="1" applyAlignment="1" applyProtection="1">
      <alignment horizontal="center" vertical="center" wrapText="1"/>
    </xf>
    <xf numFmtId="10" fontId="4" fillId="0" borderId="37" xfId="0" applyNumberFormat="1" applyFont="1" applyFill="1" applyBorder="1" applyAlignment="1" applyProtection="1">
      <alignment vertical="center" wrapText="1"/>
    </xf>
    <xf numFmtId="10" fontId="4" fillId="0" borderId="38" xfId="0" applyNumberFormat="1" applyFont="1" applyFill="1" applyBorder="1" applyAlignment="1" applyProtection="1">
      <alignment vertical="center" wrapText="1"/>
    </xf>
    <xf numFmtId="10" fontId="4" fillId="0" borderId="39" xfId="0" applyNumberFormat="1" applyFont="1" applyFill="1" applyBorder="1" applyAlignment="1" applyProtection="1">
      <alignment vertical="center" wrapText="1"/>
    </xf>
    <xf numFmtId="10" fontId="18" fillId="8" borderId="37" xfId="0" applyNumberFormat="1" applyFont="1" applyFill="1" applyBorder="1" applyAlignment="1" applyProtection="1">
      <alignment horizontal="center" vertical="center" wrapText="1"/>
    </xf>
    <xf numFmtId="10" fontId="18" fillId="8" borderId="38" xfId="0" applyNumberFormat="1" applyFont="1" applyFill="1" applyBorder="1" applyAlignment="1" applyProtection="1">
      <alignment horizontal="center" vertical="center" wrapText="1"/>
    </xf>
    <xf numFmtId="10" fontId="18" fillId="8" borderId="39" xfId="0" applyNumberFormat="1" applyFont="1" applyFill="1" applyBorder="1" applyAlignment="1" applyProtection="1">
      <alignment horizontal="center" vertical="center" wrapText="1"/>
    </xf>
    <xf numFmtId="0" fontId="7" fillId="8" borderId="37" xfId="0" applyFont="1" applyFill="1" applyBorder="1" applyAlignment="1" applyProtection="1">
      <alignment vertical="center" wrapText="1"/>
    </xf>
    <xf numFmtId="0" fontId="7" fillId="8" borderId="38" xfId="0" applyFont="1" applyFill="1" applyBorder="1" applyAlignment="1" applyProtection="1">
      <alignment vertical="center" wrapText="1"/>
    </xf>
    <xf numFmtId="0" fontId="7" fillId="8" borderId="39" xfId="0" applyFont="1" applyFill="1" applyBorder="1" applyAlignment="1" applyProtection="1">
      <alignment vertical="center" wrapText="1"/>
    </xf>
    <xf numFmtId="0" fontId="7" fillId="0" borderId="48"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23" fillId="16" borderId="0" xfId="0" applyFont="1" applyFill="1" applyBorder="1" applyAlignment="1">
      <alignment horizontal="left" vertical="center" wrapText="1"/>
    </xf>
    <xf numFmtId="0" fontId="64" fillId="0" borderId="0" xfId="0" applyNumberFormat="1" applyFont="1" applyFill="1" applyAlignment="1" applyProtection="1">
      <alignment vertical="top" wrapText="1"/>
    </xf>
  </cellXfs>
  <cellStyles count="4">
    <cellStyle name="Hyperlink" xfId="1" builtinId="8"/>
    <cellStyle name="Normal" xfId="0" builtinId="0"/>
    <cellStyle name="Normal 2 2" xfId="2"/>
    <cellStyle name="Percent" xfId="3" builtinId="5"/>
  </cellStyles>
  <dxfs count="4199">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0.93258426966292141</c:v>
                </c:pt>
                <c:pt idx="1">
                  <c:v>0.94214876033057848</c:v>
                </c:pt>
                <c:pt idx="2">
                  <c:v>0.93650793650793651</c:v>
                </c:pt>
                <c:pt idx="3">
                  <c:v>0.93846153846153846</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6.741573033707865E-2</c:v>
                </c:pt>
                <c:pt idx="1">
                  <c:v>1.6528925619834711E-2</c:v>
                </c:pt>
                <c:pt idx="2">
                  <c:v>2.3809523809523808E-2</c:v>
                </c:pt>
                <c:pt idx="3">
                  <c:v>1.5384615384615385E-2</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0</c:v>
                </c:pt>
                <c:pt idx="1">
                  <c:v>4.1322314049586778E-2</c:v>
                </c:pt>
                <c:pt idx="2">
                  <c:v>3.968253968253968E-2</c:v>
                </c:pt>
                <c:pt idx="3">
                  <c:v>4.6153846153846156E-2</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334183424"/>
        <c:axId val="334179896"/>
      </c:lineChart>
      <c:catAx>
        <c:axId val="334183424"/>
        <c:scaling>
          <c:orientation val="minMax"/>
        </c:scaling>
        <c:delete val="0"/>
        <c:axPos val="b"/>
        <c:numFmt formatCode="General" sourceLinked="0"/>
        <c:majorTickMark val="out"/>
        <c:minorTickMark val="none"/>
        <c:tickLblPos val="nextTo"/>
        <c:txPr>
          <a:bodyPr/>
          <a:lstStyle/>
          <a:p>
            <a:pPr>
              <a:defRPr lang="en-US"/>
            </a:pPr>
            <a:endParaRPr lang="en-US"/>
          </a:p>
        </c:txPr>
        <c:crossAx val="334179896"/>
        <c:crosses val="autoZero"/>
        <c:auto val="1"/>
        <c:lblAlgn val="ctr"/>
        <c:lblOffset val="100"/>
        <c:noMultiLvlLbl val="0"/>
      </c:catAx>
      <c:valAx>
        <c:axId val="33417989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34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paperSize="8"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1</c:v>
                </c:pt>
                <c:pt idx="1">
                  <c:v>0</c:v>
                </c:pt>
                <c:pt idx="2">
                  <c:v>0</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Creating a prosperous East Staffordshire</a:t>
            </a:r>
            <a:r>
              <a:rPr lang="en-US" sz="1800" b="1" i="0" baseline="0"/>
              <a:t>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1</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1</c:v>
                </c:pt>
                <c:pt idx="1">
                  <c:v>0</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0.93650793650793651</c:v>
                </c:pt>
                <c:pt idx="1">
                  <c:v>2.3809523809523808E-2</c:v>
                </c:pt>
                <c:pt idx="2">
                  <c:v>3.968253968253968E-2</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0.93846153846153846</c:v>
                </c:pt>
                <c:pt idx="1">
                  <c:v>1.5384615384615385E-2</c:v>
                </c:pt>
                <c:pt idx="2">
                  <c:v>4.6153846153846156E-2</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1</c:v>
                </c:pt>
                <c:pt idx="1">
                  <c:v>0</c:v>
                </c:pt>
                <c:pt idx="2">
                  <c:v>0</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1</c:v>
                </c:pt>
                <c:pt idx="1">
                  <c:v>0</c:v>
                </c:pt>
                <c:pt idx="2">
                  <c:v>0</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Creating a prosperous East Staffordshire</a:t>
            </a:r>
            <a:r>
              <a:rPr lang="en-US" sz="1800" b="1" i="0" baseline="0"/>
              <a:t>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1</c:v>
                </c:pt>
                <c:pt idx="1">
                  <c:v>0</c:v>
                </c:pt>
                <c:pt idx="2">
                  <c:v>0</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u="none" strike="noStrike" baseline="0">
                <a:effectLst/>
              </a:rPr>
              <a:t>Creating a prosperous East Staffordshire</a:t>
            </a: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1</c:v>
                </c:pt>
                <c:pt idx="1">
                  <c:v>0</c:v>
                </c:pt>
                <c:pt idx="2">
                  <c:v>0</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1</c:v>
                </c:pt>
                <c:pt idx="1">
                  <c:v>0</c:v>
                </c:pt>
                <c:pt idx="2">
                  <c:v>0</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Improving Local Democracy</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334180680"/>
        <c:axId val="334181072"/>
      </c:lineChart>
      <c:catAx>
        <c:axId val="334180680"/>
        <c:scaling>
          <c:orientation val="minMax"/>
        </c:scaling>
        <c:delete val="0"/>
        <c:axPos val="b"/>
        <c:numFmt formatCode="General" sourceLinked="0"/>
        <c:majorTickMark val="out"/>
        <c:minorTickMark val="none"/>
        <c:tickLblPos val="nextTo"/>
        <c:txPr>
          <a:bodyPr/>
          <a:lstStyle/>
          <a:p>
            <a:pPr>
              <a:defRPr lang="en-US"/>
            </a:pPr>
            <a:endParaRPr lang="en-US"/>
          </a:p>
        </c:txPr>
        <c:crossAx val="334181072"/>
        <c:crosses val="autoZero"/>
        <c:auto val="1"/>
        <c:lblAlgn val="ctr"/>
        <c:lblOffset val="100"/>
        <c:noMultiLvlLbl val="0"/>
      </c:catAx>
      <c:valAx>
        <c:axId val="33418107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068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0.90909090909090906</c:v>
                </c:pt>
                <c:pt idx="1">
                  <c:v>0</c:v>
                </c:pt>
                <c:pt idx="2">
                  <c:v>9.0909090909090912E-2</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Protecting our heritage</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Priority'!$AY$71</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Priority'!$AZ$70:$BC$70</c:f>
              <c:strCache>
                <c:ptCount val="4"/>
                <c:pt idx="0">
                  <c:v>Q1</c:v>
                </c:pt>
                <c:pt idx="1">
                  <c:v>Q2</c:v>
                </c:pt>
                <c:pt idx="2">
                  <c:v>Q3</c:v>
                </c:pt>
                <c:pt idx="3">
                  <c:v>Q4</c:v>
                </c:pt>
              </c:strCache>
            </c:strRef>
          </c:cat>
          <c:val>
            <c:numRef>
              <c:f>'2b. Charts by Priority'!$AZ$71:$BC$71</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21A3-4BFA-BBB5-DF5B18E71016}"/>
            </c:ext>
          </c:extLst>
        </c:ser>
        <c:ser>
          <c:idx val="1"/>
          <c:order val="1"/>
          <c:tx>
            <c:strRef>
              <c:f>'2b. Charts by Priority'!$AY$72</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Priority'!$AZ$70:$BC$70</c:f>
              <c:strCache>
                <c:ptCount val="4"/>
                <c:pt idx="0">
                  <c:v>Q1</c:v>
                </c:pt>
                <c:pt idx="1">
                  <c:v>Q2</c:v>
                </c:pt>
                <c:pt idx="2">
                  <c:v>Q3</c:v>
                </c:pt>
                <c:pt idx="3">
                  <c:v>Q4</c:v>
                </c:pt>
              </c:strCache>
            </c:strRef>
          </c:cat>
          <c:val>
            <c:numRef>
              <c:f>'2b. Charts by Priority'!$AZ$72:$BC$72</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21A3-4BFA-BBB5-DF5B18E71016}"/>
            </c:ext>
          </c:extLst>
        </c:ser>
        <c:ser>
          <c:idx val="2"/>
          <c:order val="2"/>
          <c:tx>
            <c:strRef>
              <c:f>'2b. Charts by Priority'!$AY$73</c:f>
              <c:strCache>
                <c:ptCount val="1"/>
                <c:pt idx="0">
                  <c:v>Red</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'2b. Charts by Priority'!$AZ$70:$BC$70</c:f>
              <c:strCache>
                <c:ptCount val="4"/>
                <c:pt idx="0">
                  <c:v>Q1</c:v>
                </c:pt>
                <c:pt idx="1">
                  <c:v>Q2</c:v>
                </c:pt>
                <c:pt idx="2">
                  <c:v>Q3</c:v>
                </c:pt>
                <c:pt idx="3">
                  <c:v>Q4</c:v>
                </c:pt>
              </c:strCache>
            </c:strRef>
          </c:cat>
          <c:val>
            <c:numRef>
              <c:f>'2b. Charts by Priority'!$AZ$73:$BC$73</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C-21A3-4BFA-BBB5-DF5B18E71016}"/>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Protecting</a:t>
            </a:r>
            <a:r>
              <a:rPr lang="en-US" baseline="0"/>
              <a:t> our heritage </a:t>
            </a: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Priority'!$AZ$70</c:f>
              <c:strCache>
                <c:ptCount val="1"/>
                <c:pt idx="0">
                  <c:v>Q1</c:v>
                </c:pt>
              </c:strCache>
            </c:strRef>
          </c:tx>
          <c:cat>
            <c:strRef>
              <c:f>'2b. Charts by Priority'!$AY$71:$AY$73</c:f>
              <c:strCache>
                <c:ptCount val="3"/>
                <c:pt idx="0">
                  <c:v>Green</c:v>
                </c:pt>
                <c:pt idx="1">
                  <c:v>Amber</c:v>
                </c:pt>
                <c:pt idx="2">
                  <c:v>Red</c:v>
                </c:pt>
              </c:strCache>
            </c:strRef>
          </c:cat>
          <c:val>
            <c:numRef>
              <c:f>'2b. Charts by Priority'!$AZ$71:$AZ$73</c:f>
              <c:numCache>
                <c:formatCode>0.00%</c:formatCode>
                <c:ptCount val="3"/>
                <c:pt idx="0">
                  <c:v>1</c:v>
                </c:pt>
                <c:pt idx="1">
                  <c:v>0</c:v>
                </c:pt>
                <c:pt idx="2">
                  <c:v>0</c:v>
                </c:pt>
              </c:numCache>
            </c:numRef>
          </c:val>
          <c:extLst>
            <c:ext xmlns:c16="http://schemas.microsoft.com/office/drawing/2014/chart" uri="{C3380CC4-5D6E-409C-BE32-E72D297353CC}">
              <c16:uniqueId val="{00000006-A190-423B-8A49-D421E49B515C}"/>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Priority'!$BA$70</c:f>
              <c:strCache>
                <c:ptCount val="1"/>
                <c:pt idx="0">
                  <c:v>Q2</c:v>
                </c:pt>
              </c:strCache>
            </c:strRef>
          </c:tx>
          <c:cat>
            <c:strRef>
              <c:f>'2b. Charts by Priority'!$AY$71:$AY$73</c:f>
              <c:strCache>
                <c:ptCount val="3"/>
                <c:pt idx="0">
                  <c:v>Green</c:v>
                </c:pt>
                <c:pt idx="1">
                  <c:v>Amber</c:v>
                </c:pt>
                <c:pt idx="2">
                  <c:v>Red</c:v>
                </c:pt>
              </c:strCache>
            </c:strRef>
          </c:cat>
          <c:val>
            <c:numRef>
              <c:f>'2b. Charts by Priority'!$BA$71:$BA$73</c:f>
              <c:numCache>
                <c:formatCode>0.00%</c:formatCode>
                <c:ptCount val="3"/>
                <c:pt idx="0">
                  <c:v>1</c:v>
                </c:pt>
                <c:pt idx="1">
                  <c:v>0</c:v>
                </c:pt>
                <c:pt idx="2">
                  <c:v>0</c:v>
                </c:pt>
              </c:numCache>
            </c:numRef>
          </c:val>
          <c:extLst>
            <c:ext xmlns:c16="http://schemas.microsoft.com/office/drawing/2014/chart" uri="{C3380CC4-5D6E-409C-BE32-E72D297353CC}">
              <c16:uniqueId val="{00000006-70BB-4E45-86EF-F55AC9481CA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a:t>
            </a:r>
            <a:r>
              <a:rPr lang="en-US" sz="1800" b="1" i="0" baseline="0"/>
              <a:t>Quarter 3</a:t>
            </a:r>
            <a:endParaRPr lang="en-GB"/>
          </a:p>
        </c:rich>
      </c:tx>
      <c:layout>
        <c:manualLayout>
          <c:xMode val="edge"/>
          <c:yMode val="edge"/>
          <c:x val="0.11275406980377453"/>
          <c:y val="3.2429928190873293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Priority'!$BB$70</c:f>
              <c:strCache>
                <c:ptCount val="1"/>
                <c:pt idx="0">
                  <c:v>Q3</c:v>
                </c:pt>
              </c:strCache>
            </c:strRef>
          </c:tx>
          <c:cat>
            <c:strRef>
              <c:f>'2b. Charts by Priority'!$AY$71:$AY$73</c:f>
              <c:strCache>
                <c:ptCount val="3"/>
                <c:pt idx="0">
                  <c:v>Green</c:v>
                </c:pt>
                <c:pt idx="1">
                  <c:v>Amber</c:v>
                </c:pt>
                <c:pt idx="2">
                  <c:v>Red</c:v>
                </c:pt>
              </c:strCache>
            </c:strRef>
          </c:cat>
          <c:val>
            <c:numRef>
              <c:f>'2b. Charts by Priority'!$BB$71:$BB$73</c:f>
              <c:numCache>
                <c:formatCode>0.00%</c:formatCode>
                <c:ptCount val="3"/>
                <c:pt idx="0">
                  <c:v>1</c:v>
                </c:pt>
                <c:pt idx="1">
                  <c:v>0</c:v>
                </c:pt>
                <c:pt idx="2">
                  <c:v>0</c:v>
                </c:pt>
              </c:numCache>
            </c:numRef>
          </c:val>
          <c:extLst>
            <c:ext xmlns:c16="http://schemas.microsoft.com/office/drawing/2014/chart" uri="{C3380CC4-5D6E-409C-BE32-E72D297353CC}">
              <c16:uniqueId val="{00000006-141D-40D7-B585-2CE41F6808DC}"/>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Priority'!$BC$70</c:f>
              <c:strCache>
                <c:ptCount val="1"/>
                <c:pt idx="0">
                  <c:v>Q4</c:v>
                </c:pt>
              </c:strCache>
            </c:strRef>
          </c:tx>
          <c:cat>
            <c:strRef>
              <c:f>'2b. Charts by Priority'!$AY$71:$AY$73</c:f>
              <c:strCache>
                <c:ptCount val="3"/>
                <c:pt idx="0">
                  <c:v>Green</c:v>
                </c:pt>
                <c:pt idx="1">
                  <c:v>Amber</c:v>
                </c:pt>
                <c:pt idx="2">
                  <c:v>Red</c:v>
                </c:pt>
              </c:strCache>
            </c:strRef>
          </c:cat>
          <c:val>
            <c:numRef>
              <c:f>'2b. Charts by Priority'!$BC$71:$BC$73</c:f>
              <c:numCache>
                <c:formatCode>0.00%</c:formatCode>
                <c:ptCount val="3"/>
                <c:pt idx="0">
                  <c:v>1</c:v>
                </c:pt>
                <c:pt idx="1">
                  <c:v>0</c:v>
                </c:pt>
                <c:pt idx="2">
                  <c:v>0</c:v>
                </c:pt>
              </c:numCache>
            </c:numRef>
          </c:val>
          <c:extLst>
            <c:ext xmlns:c16="http://schemas.microsoft.com/office/drawing/2014/chart" uri="{C3380CC4-5D6E-409C-BE32-E72D297353CC}">
              <c16:uniqueId val="{00000006-C9DF-4E1B-BBB8-FBF2670D6A9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Standing up for our communities</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Priority'!$AY$86</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Priority'!$AZ$86:$BC$86</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B2CF-466E-A181-6E2E2E9B9E32}"/>
            </c:ext>
          </c:extLst>
        </c:ser>
        <c:ser>
          <c:idx val="1"/>
          <c:order val="1"/>
          <c:tx>
            <c:strRef>
              <c:f>'2b. Charts by Priority'!$AY$87</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Priority'!$AZ$87:$BC$87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B2CF-466E-A181-6E2E2E9B9E32}"/>
            </c:ext>
          </c:extLst>
        </c:ser>
        <c:ser>
          <c:idx val="2"/>
          <c:order val="2"/>
          <c:tx>
            <c:strRef>
              <c:f>'2b. Charts by Priority'!$AY$88</c:f>
              <c:strCache>
                <c:ptCount val="1"/>
                <c:pt idx="0">
                  <c:v>Red</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Priority'!$AZ$88:$BC$88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B2CF-466E-A181-6E2E2E9B9E32}"/>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Standing up for our communities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Priority'!$AZ$85</c:f>
              <c:strCache>
                <c:ptCount val="1"/>
                <c:pt idx="0">
                  <c:v>Q1</c:v>
                </c:pt>
              </c:strCache>
            </c:strRef>
          </c:tx>
          <c:cat>
            <c:strRef>
              <c:f>'2b. Charts by Priority'!$AY$86:$AY$88</c:f>
              <c:strCache>
                <c:ptCount val="3"/>
                <c:pt idx="0">
                  <c:v>Green</c:v>
                </c:pt>
                <c:pt idx="1">
                  <c:v>Amber</c:v>
                </c:pt>
                <c:pt idx="2">
                  <c:v>Red</c:v>
                </c:pt>
              </c:strCache>
            </c:strRef>
          </c:cat>
          <c:val>
            <c:numRef>
              <c:f>'2b. Charts by Priority'!$AZ$86:$AZ$88</c:f>
              <c:numCache>
                <c:formatCode>0.00%</c:formatCode>
                <c:ptCount val="3"/>
                <c:pt idx="0">
                  <c:v>1</c:v>
                </c:pt>
                <c:pt idx="1">
                  <c:v>0</c:v>
                </c:pt>
                <c:pt idx="2">
                  <c:v>0</c:v>
                </c:pt>
              </c:numCache>
            </c:numRef>
          </c:val>
          <c:extLst>
            <c:ext xmlns:c16="http://schemas.microsoft.com/office/drawing/2014/chart" uri="{C3380CC4-5D6E-409C-BE32-E72D297353CC}">
              <c16:uniqueId val="{00000006-7939-4199-A1D4-BB2DDD834F4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Priority'!$BA$85</c:f>
              <c:strCache>
                <c:ptCount val="1"/>
                <c:pt idx="0">
                  <c:v>Q2</c:v>
                </c:pt>
              </c:strCache>
            </c:strRef>
          </c:tx>
          <c:cat>
            <c:strRef>
              <c:f>'2b. Charts by Priority'!$AY$86:$AY$88</c:f>
              <c:strCache>
                <c:ptCount val="3"/>
                <c:pt idx="0">
                  <c:v>Green</c:v>
                </c:pt>
                <c:pt idx="1">
                  <c:v>Amber</c:v>
                </c:pt>
                <c:pt idx="2">
                  <c:v>Red</c:v>
                </c:pt>
              </c:strCache>
            </c:strRef>
          </c:cat>
          <c:val>
            <c:numRef>
              <c:f>'2b. Charts by Priority'!$BA$86:$BA$88</c:f>
              <c:numCache>
                <c:formatCode>0.00%</c:formatCode>
                <c:ptCount val="3"/>
                <c:pt idx="0">
                  <c:v>1</c:v>
                </c:pt>
                <c:pt idx="1">
                  <c:v>0</c:v>
                </c:pt>
                <c:pt idx="2">
                  <c:v>0</c:v>
                </c:pt>
              </c:numCache>
            </c:numRef>
          </c:val>
          <c:extLst>
            <c:ext xmlns:c16="http://schemas.microsoft.com/office/drawing/2014/chart" uri="{C3380CC4-5D6E-409C-BE32-E72D297353CC}">
              <c16:uniqueId val="{00000006-A9FB-492F-9F6D-30EAD8AF660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a:t>
            </a:r>
            <a:r>
              <a:rPr lang="en-US" sz="1800" b="1" i="0" baseline="0"/>
              <a:t>Quarter 3</a:t>
            </a:r>
            <a:endParaRPr lang="en-GB"/>
          </a:p>
        </c:rich>
      </c:tx>
      <c:layout>
        <c:manualLayout>
          <c:xMode val="edge"/>
          <c:yMode val="edge"/>
          <c:x val="0.11275406980377453"/>
          <c:y val="3.2429928190873293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Priority'!$BB$85</c:f>
              <c:strCache>
                <c:ptCount val="1"/>
                <c:pt idx="0">
                  <c:v>Q3</c:v>
                </c:pt>
              </c:strCache>
            </c:strRef>
          </c:tx>
          <c:cat>
            <c:strRef>
              <c:f>'2b. Charts by Priority'!$AY$86:$AY$88</c:f>
              <c:strCache>
                <c:ptCount val="3"/>
                <c:pt idx="0">
                  <c:v>Green</c:v>
                </c:pt>
                <c:pt idx="1">
                  <c:v>Amber</c:v>
                </c:pt>
                <c:pt idx="2">
                  <c:v>Red</c:v>
                </c:pt>
              </c:strCache>
            </c:strRef>
          </c:cat>
          <c:val>
            <c:numRef>
              <c:f>'2b. Charts by Priority'!$BB$86:$BB$88</c:f>
              <c:numCache>
                <c:formatCode>0.00%</c:formatCode>
                <c:ptCount val="3"/>
                <c:pt idx="0">
                  <c:v>1</c:v>
                </c:pt>
                <c:pt idx="1">
                  <c:v>0</c:v>
                </c:pt>
                <c:pt idx="2">
                  <c:v>0</c:v>
                </c:pt>
              </c:numCache>
            </c:numRef>
          </c:val>
          <c:extLst>
            <c:ext xmlns:c16="http://schemas.microsoft.com/office/drawing/2014/chart" uri="{C3380CC4-5D6E-409C-BE32-E72D297353CC}">
              <c16:uniqueId val="{00000006-6C93-48DE-BE3C-B82565B62EA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Creating a prosperous East Staffordshire</a:t>
            </a: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356717536"/>
        <c:axId val="356712048"/>
      </c:lineChart>
      <c:catAx>
        <c:axId val="356717536"/>
        <c:scaling>
          <c:orientation val="minMax"/>
        </c:scaling>
        <c:delete val="0"/>
        <c:axPos val="b"/>
        <c:numFmt formatCode="General" sourceLinked="0"/>
        <c:majorTickMark val="out"/>
        <c:minorTickMark val="none"/>
        <c:tickLblPos val="nextTo"/>
        <c:txPr>
          <a:bodyPr/>
          <a:lstStyle/>
          <a:p>
            <a:pPr>
              <a:defRPr lang="en-US"/>
            </a:pPr>
            <a:endParaRPr lang="en-US"/>
          </a:p>
        </c:txPr>
        <c:crossAx val="356712048"/>
        <c:crosses val="autoZero"/>
        <c:auto val="1"/>
        <c:lblAlgn val="ctr"/>
        <c:lblOffset val="100"/>
        <c:noMultiLvlLbl val="0"/>
      </c:catAx>
      <c:valAx>
        <c:axId val="35671204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753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Priority'!$BC$85</c:f>
              <c:strCache>
                <c:ptCount val="1"/>
                <c:pt idx="0">
                  <c:v>Q4</c:v>
                </c:pt>
              </c:strCache>
            </c:strRef>
          </c:tx>
          <c:cat>
            <c:strRef>
              <c:f>'2b. Charts by Priority'!$AY$86:$AY$88</c:f>
              <c:strCache>
                <c:ptCount val="3"/>
                <c:pt idx="0">
                  <c:v>Green</c:v>
                </c:pt>
                <c:pt idx="1">
                  <c:v>Amber</c:v>
                </c:pt>
                <c:pt idx="2">
                  <c:v>Red</c:v>
                </c:pt>
              </c:strCache>
            </c:strRef>
          </c:cat>
          <c:val>
            <c:numRef>
              <c:f>'2b. Charts by Priority'!$BC$86:$BC$88</c:f>
              <c:numCache>
                <c:formatCode>0.00%</c:formatCode>
                <c:ptCount val="3"/>
                <c:pt idx="0">
                  <c:v>1</c:v>
                </c:pt>
                <c:pt idx="1">
                  <c:v>0</c:v>
                </c:pt>
                <c:pt idx="2">
                  <c:v>0</c:v>
                </c:pt>
              </c:numCache>
            </c:numRef>
          </c:val>
          <c:extLst>
            <c:ext xmlns:c16="http://schemas.microsoft.com/office/drawing/2014/chart" uri="{C3380CC4-5D6E-409C-BE32-E72D297353CC}">
              <c16:uniqueId val="{00000006-44DC-4A7C-8B55-3194D233DA9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Communities and Regulatory</a:t>
            </a:r>
            <a:r>
              <a:rPr lang="en-US" sz="1200" u="sng" baseline="0">
                <a:latin typeface="Arial" pitchFamily="34" charset="0"/>
                <a:cs typeface="Arial" pitchFamily="34" charset="0"/>
              </a:rPr>
              <a:t> Services</a:t>
            </a:r>
            <a:endParaRPr lang="en-US"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0.94444444444444442</c:v>
                </c:pt>
                <c:pt idx="1">
                  <c:v>0.95454545454545459</c:v>
                </c:pt>
                <c:pt idx="2">
                  <c:v>0.95652173913043481</c:v>
                </c:pt>
                <c:pt idx="3">
                  <c:v>0.91304347826086951</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5.5555555555555552E-2</c:v>
                </c:pt>
                <c:pt idx="1">
                  <c:v>0</c:v>
                </c:pt>
                <c:pt idx="2">
                  <c:v>0</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c:v>
                </c:pt>
                <c:pt idx="1">
                  <c:v>4.5454545454545456E-2</c:v>
                </c:pt>
                <c:pt idx="2">
                  <c:v>4.3478260869565216E-2</c:v>
                </c:pt>
                <c:pt idx="3">
                  <c:v>8.6956521739130432E-2</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57745056"/>
        <c:axId val="357746624"/>
      </c:lineChart>
      <c:catAx>
        <c:axId val="357745056"/>
        <c:scaling>
          <c:orientation val="minMax"/>
        </c:scaling>
        <c:delete val="0"/>
        <c:axPos val="b"/>
        <c:numFmt formatCode="General" sourceLinked="1"/>
        <c:majorTickMark val="out"/>
        <c:minorTickMark val="none"/>
        <c:tickLblPos val="nextTo"/>
        <c:txPr>
          <a:bodyPr/>
          <a:lstStyle/>
          <a:p>
            <a:pPr>
              <a:defRPr lang="en-US"/>
            </a:pPr>
            <a:endParaRPr lang="en-US"/>
          </a:p>
        </c:txPr>
        <c:crossAx val="357746624"/>
        <c:crosses val="autoZero"/>
        <c:auto val="1"/>
        <c:lblAlgn val="ctr"/>
        <c:lblOffset val="100"/>
        <c:noMultiLvlLbl val="0"/>
      </c:catAx>
      <c:valAx>
        <c:axId val="35774662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05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Environment and Climate Change</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0.83333333333333326</c:v>
                </c:pt>
                <c:pt idx="1">
                  <c:v>0.90322580645161288</c:v>
                </c:pt>
                <c:pt idx="2">
                  <c:v>0.90909090909090917</c:v>
                </c:pt>
                <c:pt idx="3">
                  <c:v>0.91176470588235292</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0.16666666666666666</c:v>
                </c:pt>
                <c:pt idx="1">
                  <c:v>6.4516129032258063E-2</c:v>
                </c:pt>
                <c:pt idx="2">
                  <c:v>6.0606060606060608E-2</c:v>
                </c:pt>
                <c:pt idx="3">
                  <c:v>2.9411764705882353E-2</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3.2258064516129031E-2</c:v>
                </c:pt>
                <c:pt idx="2">
                  <c:v>3.0303030303030304E-2</c:v>
                </c:pt>
                <c:pt idx="3">
                  <c:v>5.8823529411764705E-2</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57745448"/>
        <c:axId val="357749368"/>
      </c:lineChart>
      <c:catAx>
        <c:axId val="357745448"/>
        <c:scaling>
          <c:orientation val="minMax"/>
        </c:scaling>
        <c:delete val="0"/>
        <c:axPos val="b"/>
        <c:numFmt formatCode="General" sourceLinked="0"/>
        <c:majorTickMark val="out"/>
        <c:minorTickMark val="none"/>
        <c:tickLblPos val="nextTo"/>
        <c:txPr>
          <a:bodyPr/>
          <a:lstStyle/>
          <a:p>
            <a:pPr>
              <a:defRPr lang="en-US"/>
            </a:pPr>
            <a:endParaRPr lang="en-US"/>
          </a:p>
        </c:txPr>
        <c:crossAx val="357749368"/>
        <c:crosses val="autoZero"/>
        <c:auto val="1"/>
        <c:lblAlgn val="ctr"/>
        <c:lblOffset val="100"/>
        <c:noMultiLvlLbl val="0"/>
      </c:catAx>
      <c:valAx>
        <c:axId val="3577493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44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Finance and Treasury Management</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357752112"/>
        <c:axId val="357744664"/>
      </c:lineChart>
      <c:catAx>
        <c:axId val="357752112"/>
        <c:scaling>
          <c:orientation val="minMax"/>
        </c:scaling>
        <c:delete val="0"/>
        <c:axPos val="b"/>
        <c:numFmt formatCode="General" sourceLinked="0"/>
        <c:majorTickMark val="out"/>
        <c:minorTickMark val="none"/>
        <c:tickLblPos val="nextTo"/>
        <c:txPr>
          <a:bodyPr/>
          <a:lstStyle/>
          <a:p>
            <a:pPr>
              <a:defRPr lang="en-US"/>
            </a:pPr>
            <a:endParaRPr lang="en-US"/>
          </a:p>
        </c:txPr>
        <c:crossAx val="357744664"/>
        <c:crosses val="autoZero"/>
        <c:auto val="1"/>
        <c:lblAlgn val="ctr"/>
        <c:lblOffset val="100"/>
        <c:noMultiLvlLbl val="0"/>
      </c:catAx>
      <c:valAx>
        <c:axId val="35774466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521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Leader</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1</c:v>
                </c:pt>
                <c:pt idx="1">
                  <c:v>1</c:v>
                </c:pt>
                <c:pt idx="2">
                  <c:v>1</c:v>
                </c:pt>
                <c:pt idx="3">
                  <c:v>1</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357749760"/>
        <c:axId val="357748192"/>
      </c:lineChart>
      <c:catAx>
        <c:axId val="357749760"/>
        <c:scaling>
          <c:orientation val="minMax"/>
        </c:scaling>
        <c:delete val="0"/>
        <c:axPos val="b"/>
        <c:numFmt formatCode="General" sourceLinked="0"/>
        <c:majorTickMark val="out"/>
        <c:minorTickMark val="none"/>
        <c:tickLblPos val="nextTo"/>
        <c:txPr>
          <a:bodyPr/>
          <a:lstStyle/>
          <a:p>
            <a:pPr>
              <a:defRPr lang="en-US"/>
            </a:pPr>
            <a:endParaRPr lang="en-US"/>
          </a:p>
        </c:txPr>
        <c:crossAx val="357748192"/>
        <c:crosses val="autoZero"/>
        <c:auto val="1"/>
        <c:lblAlgn val="ctr"/>
        <c:lblOffset val="100"/>
        <c:noMultiLvlLbl val="0"/>
      </c:catAx>
      <c:valAx>
        <c:axId val="35774819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77497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sng" baseline="0">
                <a:effectLst/>
              </a:rPr>
              <a:t>Communities and Regulatory Services</a:t>
            </a:r>
            <a:endParaRPr lang="en-GB">
              <a:effectLst/>
            </a:endParaRPr>
          </a:p>
          <a:p>
            <a:pPr>
              <a:defRPr lang="en-US" u="none"/>
            </a:pPr>
            <a:r>
              <a:rPr lang="en-US" u="none"/>
              <a:t>- Quarter 1</a:t>
            </a:r>
          </a:p>
        </c:rich>
      </c:tx>
      <c:layout>
        <c:manualLayout>
          <c:xMode val="edge"/>
          <c:yMode val="edge"/>
          <c:x val="0.14580677415323084"/>
          <c:y val="2.7894002789400279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0.94444444444444442</c:v>
                </c:pt>
                <c:pt idx="1">
                  <c:v>5.5555555555555552E-2</c:v>
                </c:pt>
                <c:pt idx="2">
                  <c:v>0</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Environment and Climate Change</a:t>
            </a:r>
            <a:endParaRPr lang="en-GB" sz="1800" b="1" i="0" u="none" baseline="0">
              <a:effectLst/>
            </a:endParaRPr>
          </a:p>
          <a:p>
            <a:pPr algn="ctr">
              <a:defRPr lang="en-US"/>
            </a:pPr>
            <a:r>
              <a:rPr lang="en-GB" sz="1800" b="1" i="0" u="none" baseline="0">
                <a:effectLst/>
              </a:rPr>
              <a:t>- </a:t>
            </a:r>
            <a:r>
              <a:rPr lang="en-US"/>
              <a:t>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0.83333333333333326</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0.16666666666666666</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1</c:v>
                </c:pt>
                <c:pt idx="1">
                  <c:v>0</c:v>
                </c:pt>
                <c:pt idx="2">
                  <c:v>0</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1</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Communities and Regulatory Services</a:t>
            </a:r>
            <a:endParaRPr lang="en-GB">
              <a:effectLst/>
            </a:endParaRPr>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0.95454545454545459</c:v>
                </c:pt>
                <c:pt idx="1">
                  <c:v>0</c:v>
                </c:pt>
                <c:pt idx="2">
                  <c:v>4.5454545454545456E-2</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Developing a Green New Deal</a:t>
            </a:r>
            <a:r>
              <a:rPr lang="en-GB" sz="1100" baseline="0">
                <a:latin typeface="Arial" pitchFamily="34" charset="0"/>
                <a:cs typeface="Arial" pitchFamily="34" charset="0"/>
              </a:rPr>
              <a:t> for East Staffordshire</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0.8571428571428571</c:v>
                </c:pt>
                <c:pt idx="1">
                  <c:v>1</c:v>
                </c:pt>
                <c:pt idx="2">
                  <c:v>1</c:v>
                </c:pt>
                <c:pt idx="3">
                  <c:v>0.90909090909090906</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0.14285714285714285</c:v>
                </c:pt>
                <c:pt idx="1">
                  <c:v>0</c:v>
                </c:pt>
                <c:pt idx="2">
                  <c:v>0</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0</c:v>
                </c:pt>
                <c:pt idx="1">
                  <c:v>0</c:v>
                </c:pt>
                <c:pt idx="2">
                  <c:v>0</c:v>
                </c:pt>
                <c:pt idx="3">
                  <c:v>9.0909090909090912E-2</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0.90322580645161288</c:v>
                </c:pt>
                <c:pt idx="1">
                  <c:v>6.4516129032258063E-2</c:v>
                </c:pt>
                <c:pt idx="2">
                  <c:v>3.2258064516129031E-2</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1</c:v>
                </c:pt>
                <c:pt idx="1">
                  <c:v>0</c:v>
                </c:pt>
                <c:pt idx="2">
                  <c:v>0</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1</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Regulatory Services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0.95652173913043481</c:v>
                </c:pt>
                <c:pt idx="1">
                  <c:v>0</c:v>
                </c:pt>
                <c:pt idx="2">
                  <c:v>4.3478260869565216E-2</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Regulatory Services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0.91304347826086951</c:v>
                </c:pt>
                <c:pt idx="1">
                  <c:v>0</c:v>
                </c:pt>
                <c:pt idx="2">
                  <c:v>8.6956521739130432E-2</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Environment and Climate Change</a:t>
            </a:r>
            <a:endParaRPr lang="en-GB">
              <a:effectLst/>
            </a:endParaRP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0.90909090909090917</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6.0606060606060608E-2</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3.0303030303030304E-2</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Environment and Climate Change</a:t>
            </a:r>
            <a:endParaRPr lang="en-GB">
              <a:effectLst/>
            </a:endParaRP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0.91176470588235292</c:v>
                </c:pt>
                <c:pt idx="1">
                  <c:v>2.9411764705882353E-2</c:v>
                </c:pt>
                <c:pt idx="2">
                  <c:v>5.8823529411764705E-2</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1</c:v>
                </c:pt>
                <c:pt idx="1">
                  <c:v>0</c:v>
                </c:pt>
                <c:pt idx="2">
                  <c:v>0</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Finance and Treasury Management</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1</c:v>
                </c:pt>
                <c:pt idx="1">
                  <c:v>0</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1</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0.93258426966292141</c:v>
                </c:pt>
                <c:pt idx="1">
                  <c:v>6.741573033707865E-2</c:v>
                </c:pt>
                <c:pt idx="2">
                  <c:v>0</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1</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Regeneration and Development</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0.88888888888888884</c:v>
                </c:pt>
                <c:pt idx="1">
                  <c:v>0.90909090909090906</c:v>
                </c:pt>
                <c:pt idx="2">
                  <c:v>0.86956521739130432</c:v>
                </c:pt>
                <c:pt idx="3">
                  <c:v>0.91666666666666674</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0.1111111111111111</c:v>
                </c:pt>
                <c:pt idx="1">
                  <c:v>0</c:v>
                </c:pt>
                <c:pt idx="2">
                  <c:v>4.3478260869565216E-2</c:v>
                </c:pt>
                <c:pt idx="3">
                  <c:v>4.1666666666666664E-2</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0</c:v>
                </c:pt>
                <c:pt idx="1">
                  <c:v>9.0909090909090912E-2</c:v>
                </c:pt>
                <c:pt idx="2">
                  <c:v>8.6956521739130432E-2</c:v>
                </c:pt>
                <c:pt idx="3">
                  <c:v>4.1666666666666664E-2</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Regeneration and Development</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0.88888888888888884</c:v>
                </c:pt>
                <c:pt idx="1">
                  <c:v>0.1111111111111111</c:v>
                </c:pt>
                <c:pt idx="2">
                  <c:v>0</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0.90909090909090906</c:v>
                </c:pt>
                <c:pt idx="1">
                  <c:v>0</c:v>
                </c:pt>
                <c:pt idx="2">
                  <c:v>9.0909090909090912E-2</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0.86956521739130432</c:v>
                </c:pt>
                <c:pt idx="1">
                  <c:v>4.3478260869565216E-2</c:v>
                </c:pt>
                <c:pt idx="2">
                  <c:v>8.6956521739130432E-2</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0.91666666666666674</c:v>
                </c:pt>
                <c:pt idx="1">
                  <c:v>4.1666666666666664E-2</c:v>
                </c:pt>
                <c:pt idx="2">
                  <c:v>4.1666666666666664E-2</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Tourism and Cultural Development</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Portfolio'!$AY$87</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Portfolio'!$AZ$87:$BC$87</c:f>
              <c:numCache>
                <c:formatCode>0.00%</c:formatCode>
                <c:ptCount val="4"/>
                <c:pt idx="0">
                  <c:v>1</c:v>
                </c:pt>
                <c:pt idx="1">
                  <c:v>0.95</c:v>
                </c:pt>
                <c:pt idx="2">
                  <c:v>0.95</c:v>
                </c:pt>
                <c:pt idx="3">
                  <c:v>0.95238095238095233</c:v>
                </c:pt>
              </c:numCache>
            </c:numRef>
          </c:val>
          <c:smooth val="0"/>
          <c:extLst>
            <c:ext xmlns:c16="http://schemas.microsoft.com/office/drawing/2014/chart" uri="{C3380CC4-5D6E-409C-BE32-E72D297353CC}">
              <c16:uniqueId val="{00000002-8247-40C9-A0BA-4E3E90F6C197}"/>
            </c:ext>
          </c:extLst>
        </c:ser>
        <c:ser>
          <c:idx val="1"/>
          <c:order val="1"/>
          <c:tx>
            <c:strRef>
              <c:f>'3b. Charts by Portfolio'!$AY$88</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Portfolio'!$AZ$88:$BC$88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8247-40C9-A0BA-4E3E90F6C197}"/>
            </c:ext>
          </c:extLst>
        </c:ser>
        <c:ser>
          <c:idx val="2"/>
          <c:order val="2"/>
          <c:tx>
            <c:strRef>
              <c:f>'3b. Charts by Portfolio'!$AY$89</c:f>
              <c:strCache>
                <c:ptCount val="1"/>
                <c:pt idx="0">
                  <c:v>Red</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Portfolio'!$AZ$89:$BC$89</c:f>
              <c:numCache>
                <c:formatCode>0.00%</c:formatCode>
                <c:ptCount val="4"/>
                <c:pt idx="0">
                  <c:v>0</c:v>
                </c:pt>
                <c:pt idx="1">
                  <c:v>0.05</c:v>
                </c:pt>
                <c:pt idx="2">
                  <c:v>0.05</c:v>
                </c:pt>
                <c:pt idx="3">
                  <c:v>4.7619047619047616E-2</c:v>
                </c:pt>
              </c:numCache>
            </c:numRef>
          </c:val>
          <c:smooth val="0"/>
          <c:extLst>
            <c:ext xmlns:c16="http://schemas.microsoft.com/office/drawing/2014/chart" uri="{C3380CC4-5D6E-409C-BE32-E72D297353CC}">
              <c16:uniqueId val="{0000000B-8247-40C9-A0BA-4E3E90F6C197}"/>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Portfolio'!$AZ$86</c:f>
              <c:strCache>
                <c:ptCount val="1"/>
                <c:pt idx="0">
                  <c:v>Q1</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Portfolio'!$AZ$87:$AZ$89</c:f>
              <c:numCache>
                <c:formatCode>0.00%</c:formatCode>
                <c:ptCount val="3"/>
                <c:pt idx="0">
                  <c:v>1</c:v>
                </c:pt>
                <c:pt idx="1">
                  <c:v>0</c:v>
                </c:pt>
                <c:pt idx="2">
                  <c:v>0</c:v>
                </c:pt>
              </c:numCache>
            </c:numRef>
          </c:val>
          <c:extLst>
            <c:ext xmlns:c16="http://schemas.microsoft.com/office/drawing/2014/chart" uri="{C3380CC4-5D6E-409C-BE32-E72D297353CC}">
              <c16:uniqueId val="{00000006-604B-49FA-AE84-9D9B6FBC40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Portfolio'!$BA$86</c:f>
              <c:strCache>
                <c:ptCount val="1"/>
                <c:pt idx="0">
                  <c:v>Q2</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Portfolio'!$BA$87:$BA$89</c:f>
              <c:numCache>
                <c:formatCode>0.00%</c:formatCode>
                <c:ptCount val="3"/>
                <c:pt idx="0">
                  <c:v>0.95</c:v>
                </c:pt>
                <c:pt idx="1">
                  <c:v>0</c:v>
                </c:pt>
                <c:pt idx="2">
                  <c:v>0.05</c:v>
                </c:pt>
              </c:numCache>
            </c:numRef>
          </c:val>
          <c:extLst>
            <c:ext xmlns:c16="http://schemas.microsoft.com/office/drawing/2014/chart" uri="{C3380CC4-5D6E-409C-BE32-E72D297353CC}">
              <c16:uniqueId val="{00000006-0894-4CAA-91CB-5A922F916EA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Portfolio'!$BB$86</c:f>
              <c:strCache>
                <c:ptCount val="1"/>
                <c:pt idx="0">
                  <c:v>Q3</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Portfolio'!$BB$87:$BB$89</c:f>
              <c:numCache>
                <c:formatCode>0.00%</c:formatCode>
                <c:ptCount val="3"/>
                <c:pt idx="0">
                  <c:v>0.95</c:v>
                </c:pt>
                <c:pt idx="1">
                  <c:v>0</c:v>
                </c:pt>
                <c:pt idx="2">
                  <c:v>0.05</c:v>
                </c:pt>
              </c:numCache>
            </c:numRef>
          </c:val>
          <c:extLst>
            <c:ext xmlns:c16="http://schemas.microsoft.com/office/drawing/2014/chart" uri="{C3380CC4-5D6E-409C-BE32-E72D297353CC}">
              <c16:uniqueId val="{00000006-01FE-4390-9DD7-EEC751DF31A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Improving Local Democracy-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1</c:v>
                </c:pt>
                <c:pt idx="1">
                  <c:v>0</c:v>
                </c:pt>
                <c:pt idx="2">
                  <c:v>0</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Portfolio'!$BC$86</c:f>
              <c:strCache>
                <c:ptCount val="1"/>
                <c:pt idx="0">
                  <c:v>Q4</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Portfolio'!$BC$87:$BC$89</c:f>
              <c:numCache>
                <c:formatCode>0.00%</c:formatCode>
                <c:ptCount val="3"/>
                <c:pt idx="0">
                  <c:v>0.95238095238095233</c:v>
                </c:pt>
                <c:pt idx="1">
                  <c:v>0</c:v>
                </c:pt>
                <c:pt idx="2">
                  <c:v>4.7619047619047616E-2</c:v>
                </c:pt>
              </c:numCache>
            </c:numRef>
          </c:val>
          <c:extLst>
            <c:ext xmlns:c16="http://schemas.microsoft.com/office/drawing/2014/chart" uri="{C3380CC4-5D6E-409C-BE32-E72D297353CC}">
              <c16:uniqueId val="{00000006-10A0-4B04-BEF0-D1A127628F3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Creating</a:t>
            </a:r>
            <a:r>
              <a:rPr lang="en-US" baseline="0"/>
              <a:t> a prosperous East Staffordshire </a:t>
            </a:r>
            <a:r>
              <a:rPr lang="en-US"/>
              <a:t>-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1</c:v>
                </c:pt>
                <c:pt idx="1">
                  <c:v>0</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Developing a Green New Deal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0.8571428571428571</c:v>
                </c:pt>
                <c:pt idx="1">
                  <c:v>0.14285714285714285</c:v>
                </c:pt>
                <c:pt idx="2">
                  <c:v>0</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0.94214876033057848</c:v>
                </c:pt>
                <c:pt idx="1">
                  <c:v>1.6528925619834711E-2</c:v>
                </c:pt>
                <c:pt idx="2">
                  <c:v>4.1322314049586778E-2</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8.xml"/><Relationship Id="rId13" Type="http://schemas.openxmlformats.org/officeDocument/2006/relationships/chart" Target="../charts/chart43.xml"/><Relationship Id="rId18" Type="http://schemas.openxmlformats.org/officeDocument/2006/relationships/chart" Target="../charts/chart48.xml"/><Relationship Id="rId26" Type="http://schemas.openxmlformats.org/officeDocument/2006/relationships/chart" Target="../charts/chart56.xml"/><Relationship Id="rId3" Type="http://schemas.openxmlformats.org/officeDocument/2006/relationships/chart" Target="../charts/chart33.xml"/><Relationship Id="rId21" Type="http://schemas.openxmlformats.org/officeDocument/2006/relationships/chart" Target="../charts/chart51.xml"/><Relationship Id="rId7" Type="http://schemas.openxmlformats.org/officeDocument/2006/relationships/chart" Target="../charts/chart37.xml"/><Relationship Id="rId12" Type="http://schemas.openxmlformats.org/officeDocument/2006/relationships/chart" Target="../charts/chart42.xml"/><Relationship Id="rId17" Type="http://schemas.openxmlformats.org/officeDocument/2006/relationships/chart" Target="../charts/chart47.xml"/><Relationship Id="rId25" Type="http://schemas.openxmlformats.org/officeDocument/2006/relationships/chart" Target="../charts/chart55.xml"/><Relationship Id="rId2" Type="http://schemas.openxmlformats.org/officeDocument/2006/relationships/chart" Target="../charts/chart32.xml"/><Relationship Id="rId16" Type="http://schemas.openxmlformats.org/officeDocument/2006/relationships/chart" Target="../charts/chart46.xml"/><Relationship Id="rId20" Type="http://schemas.openxmlformats.org/officeDocument/2006/relationships/chart" Target="../charts/chart50.xml"/><Relationship Id="rId29" Type="http://schemas.openxmlformats.org/officeDocument/2006/relationships/chart" Target="../charts/chart59.xml"/><Relationship Id="rId1" Type="http://schemas.openxmlformats.org/officeDocument/2006/relationships/chart" Target="../charts/chart31.xml"/><Relationship Id="rId6" Type="http://schemas.openxmlformats.org/officeDocument/2006/relationships/chart" Target="../charts/chart36.xml"/><Relationship Id="rId11" Type="http://schemas.openxmlformats.org/officeDocument/2006/relationships/chart" Target="../charts/chart41.xml"/><Relationship Id="rId24" Type="http://schemas.openxmlformats.org/officeDocument/2006/relationships/chart" Target="../charts/chart54.xml"/><Relationship Id="rId5" Type="http://schemas.openxmlformats.org/officeDocument/2006/relationships/chart" Target="../charts/chart35.xml"/><Relationship Id="rId15" Type="http://schemas.openxmlformats.org/officeDocument/2006/relationships/chart" Target="../charts/chart45.xml"/><Relationship Id="rId23" Type="http://schemas.openxmlformats.org/officeDocument/2006/relationships/chart" Target="../charts/chart53.xml"/><Relationship Id="rId28" Type="http://schemas.openxmlformats.org/officeDocument/2006/relationships/chart" Target="../charts/chart58.xml"/><Relationship Id="rId10" Type="http://schemas.openxmlformats.org/officeDocument/2006/relationships/chart" Target="../charts/chart40.xml"/><Relationship Id="rId19" Type="http://schemas.openxmlformats.org/officeDocument/2006/relationships/chart" Target="../charts/chart49.xml"/><Relationship Id="rId4" Type="http://schemas.openxmlformats.org/officeDocument/2006/relationships/chart" Target="../charts/chart34.xml"/><Relationship Id="rId9" Type="http://schemas.openxmlformats.org/officeDocument/2006/relationships/chart" Target="../charts/chart39.xml"/><Relationship Id="rId14" Type="http://schemas.openxmlformats.org/officeDocument/2006/relationships/chart" Target="../charts/chart44.xml"/><Relationship Id="rId22" Type="http://schemas.openxmlformats.org/officeDocument/2006/relationships/chart" Target="../charts/chart52.xml"/><Relationship Id="rId27" Type="http://schemas.openxmlformats.org/officeDocument/2006/relationships/chart" Target="../charts/chart57.xml"/><Relationship Id="rId30" Type="http://schemas.openxmlformats.org/officeDocument/2006/relationships/chart" Target="../charts/chart60.xml"/></Relationships>
</file>

<file path=xl/drawings/drawing1.xml><?xml version="1.0" encoding="utf-8"?>
<xdr:wsDr xmlns:xdr="http://schemas.openxmlformats.org/drawingml/2006/spreadsheetDrawing" xmlns:a="http://schemas.openxmlformats.org/drawingml/2006/main">
  <xdr:twoCellAnchor editAs="oneCell">
    <xdr:from>
      <xdr:col>0</xdr:col>
      <xdr:colOff>293915</xdr:colOff>
      <xdr:row>0</xdr:row>
      <xdr:rowOff>0</xdr:rowOff>
    </xdr:from>
    <xdr:to>
      <xdr:col>0</xdr:col>
      <xdr:colOff>1001486</xdr:colOff>
      <xdr:row>0</xdr:row>
      <xdr:rowOff>396853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915" y="0"/>
          <a:ext cx="707571" cy="398214"/>
        </a:xfrm>
        <a:prstGeom prst="rect">
          <a:avLst/>
        </a:prstGeom>
      </xdr:spPr>
    </xdr:pic>
    <xdr:clientData/>
  </xdr:twoCellAnchor>
  <xdr:twoCellAnchor editAs="oneCell">
    <xdr:from>
      <xdr:col>36</xdr:col>
      <xdr:colOff>693965</xdr:colOff>
      <xdr:row>115</xdr:row>
      <xdr:rowOff>449036</xdr:rowOff>
    </xdr:from>
    <xdr:to>
      <xdr:col>36</xdr:col>
      <xdr:colOff>2942180</xdr:colOff>
      <xdr:row>115</xdr:row>
      <xdr:rowOff>1030142</xdr:rowOff>
    </xdr:to>
    <xdr:pic>
      <xdr:nvPicPr>
        <xdr:cNvPr id="3" name="Picture 2"/>
        <xdr:cNvPicPr>
          <a:picLocks noChangeAspect="1"/>
        </xdr:cNvPicPr>
      </xdr:nvPicPr>
      <xdr:blipFill>
        <a:blip xmlns:r="http://schemas.openxmlformats.org/officeDocument/2006/relationships" r:embed="rId2"/>
        <a:stretch>
          <a:fillRect/>
        </a:stretch>
      </xdr:blipFill>
      <xdr:spPr>
        <a:xfrm>
          <a:off x="42114108" y="10817679"/>
          <a:ext cx="2248215" cy="581106"/>
        </a:xfrm>
        <a:prstGeom prst="rect">
          <a:avLst/>
        </a:prstGeom>
      </xdr:spPr>
    </xdr:pic>
    <xdr:clientData/>
  </xdr:twoCellAnchor>
  <xdr:twoCellAnchor editAs="oneCell">
    <xdr:from>
      <xdr:col>36</xdr:col>
      <xdr:colOff>816428</xdr:colOff>
      <xdr:row>114</xdr:row>
      <xdr:rowOff>625931</xdr:rowOff>
    </xdr:from>
    <xdr:to>
      <xdr:col>36</xdr:col>
      <xdr:colOff>2769326</xdr:colOff>
      <xdr:row>114</xdr:row>
      <xdr:rowOff>1178458</xdr:rowOff>
    </xdr:to>
    <xdr:pic>
      <xdr:nvPicPr>
        <xdr:cNvPr id="4" name="Picture 3"/>
        <xdr:cNvPicPr>
          <a:picLocks noChangeAspect="1"/>
        </xdr:cNvPicPr>
      </xdr:nvPicPr>
      <xdr:blipFill>
        <a:blip xmlns:r="http://schemas.openxmlformats.org/officeDocument/2006/relationships" r:embed="rId3"/>
        <a:stretch>
          <a:fillRect/>
        </a:stretch>
      </xdr:blipFill>
      <xdr:spPr>
        <a:xfrm>
          <a:off x="42236571" y="8858252"/>
          <a:ext cx="1952898" cy="552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173355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84</xdr:row>
      <xdr:rowOff>0</xdr:rowOff>
    </xdr:from>
    <xdr:to>
      <xdr:col>8</xdr:col>
      <xdr:colOff>600074</xdr:colOff>
      <xdr:row>98</xdr:row>
      <xdr:rowOff>180975</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84</xdr:row>
      <xdr:rowOff>0</xdr:rowOff>
    </xdr:from>
    <xdr:to>
      <xdr:col>18</xdr:col>
      <xdr:colOff>0</xdr:colOff>
      <xdr:row>98</xdr:row>
      <xdr:rowOff>173355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0</xdr:colOff>
      <xdr:row>84</xdr:row>
      <xdr:rowOff>0</xdr:rowOff>
    </xdr:from>
    <xdr:to>
      <xdr:col>27</xdr:col>
      <xdr:colOff>0</xdr:colOff>
      <xdr:row>98</xdr:row>
      <xdr:rowOff>180975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28</xdr:col>
      <xdr:colOff>0</xdr:colOff>
      <xdr:row>84</xdr:row>
      <xdr:rowOff>0</xdr:rowOff>
    </xdr:from>
    <xdr:to>
      <xdr:col>36</xdr:col>
      <xdr:colOff>0</xdr:colOff>
      <xdr:row>98</xdr:row>
      <xdr:rowOff>180975</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37</xdr:col>
      <xdr:colOff>0</xdr:colOff>
      <xdr:row>84</xdr:row>
      <xdr:rowOff>0</xdr:rowOff>
    </xdr:from>
    <xdr:to>
      <xdr:col>45</xdr:col>
      <xdr:colOff>0</xdr:colOff>
      <xdr:row>98</xdr:row>
      <xdr:rowOff>180975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220980</xdr:colOff>
      <xdr:row>84</xdr:row>
      <xdr:rowOff>53340</xdr:rowOff>
    </xdr:from>
    <xdr:to>
      <xdr:col>8</xdr:col>
      <xdr:colOff>584834</xdr:colOff>
      <xdr:row>99</xdr:row>
      <xdr:rowOff>51435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84</xdr:row>
      <xdr:rowOff>0</xdr:rowOff>
    </xdr:from>
    <xdr:to>
      <xdr:col>18</xdr:col>
      <xdr:colOff>0</xdr:colOff>
      <xdr:row>98</xdr:row>
      <xdr:rowOff>180975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0</xdr:colOff>
      <xdr:row>84</xdr:row>
      <xdr:rowOff>0</xdr:rowOff>
    </xdr:from>
    <xdr:to>
      <xdr:col>27</xdr:col>
      <xdr:colOff>0</xdr:colOff>
      <xdr:row>98</xdr:row>
      <xdr:rowOff>180975</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28</xdr:col>
      <xdr:colOff>0</xdr:colOff>
      <xdr:row>84</xdr:row>
      <xdr:rowOff>0</xdr:rowOff>
    </xdr:from>
    <xdr:to>
      <xdr:col>36</xdr:col>
      <xdr:colOff>0</xdr:colOff>
      <xdr:row>98</xdr:row>
      <xdr:rowOff>180975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37</xdr:col>
      <xdr:colOff>0</xdr:colOff>
      <xdr:row>84</xdr:row>
      <xdr:rowOff>0</xdr:rowOff>
    </xdr:from>
    <xdr:to>
      <xdr:col>45</xdr:col>
      <xdr:colOff>0</xdr:colOff>
      <xdr:row>98</xdr:row>
      <xdr:rowOff>180975</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26"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ewhouse.co.uk/" TargetMode="External"/><Relationship Id="rId1" Type="http://schemas.openxmlformats.org/officeDocument/2006/relationships/hyperlink" Target="https://discovereaststaffordshire.com/tourism-development-grant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79"/>
  <sheetViews>
    <sheetView tabSelected="1" zoomScale="80" zoomScaleNormal="80" workbookViewId="0">
      <pane xSplit="5" ySplit="2" topLeftCell="V94" activePane="bottomRight" state="frozen"/>
      <selection pane="topRight" activeCell="F1" sqref="F1"/>
      <selection pane="bottomLeft" activeCell="A3" sqref="A3"/>
      <selection pane="bottomRight" activeCell="AK94" sqref="AK94"/>
    </sheetView>
  </sheetViews>
  <sheetFormatPr defaultColWidth="9.28515625" defaultRowHeight="97.9" customHeight="1"/>
  <cols>
    <col min="1" max="1" width="15.7109375" style="240" customWidth="1"/>
    <col min="2" max="2" width="12.42578125" style="230" customWidth="1"/>
    <col min="3" max="4" width="26.140625" style="229" customWidth="1"/>
    <col min="5" max="5" width="23.5703125" style="235" bestFit="1" customWidth="1"/>
    <col min="6" max="6" width="51.28515625" style="299" customWidth="1"/>
    <col min="7" max="7" width="18.5703125" style="299" hidden="1" customWidth="1"/>
    <col min="8" max="8" width="18.5703125" style="230" customWidth="1"/>
    <col min="9" max="9" width="32.42578125" style="229" customWidth="1"/>
    <col min="10" max="10" width="56.28515625" style="229" customWidth="1"/>
    <col min="11" max="11" width="16" style="229" hidden="1" customWidth="1"/>
    <col min="12" max="12" width="18.42578125" style="229" hidden="1" customWidth="1"/>
    <col min="13" max="13" width="18.5703125" style="229" customWidth="1"/>
    <col min="14" max="14" width="25.85546875" style="229" customWidth="1"/>
    <col min="15" max="15" width="57.7109375" style="229" customWidth="1"/>
    <col min="16" max="16" width="18.42578125" style="229" customWidth="1"/>
    <col min="17" max="18" width="18.5703125" style="229" customWidth="1"/>
    <col min="19" max="19" width="57.42578125" style="229" customWidth="1"/>
    <col min="20" max="20" width="57.85546875" style="229" customWidth="1"/>
    <col min="21" max="22" width="18.5703125" style="229" customWidth="1"/>
    <col min="23" max="23" width="48.28515625" style="229" customWidth="1"/>
    <col min="24" max="24" width="8.28515625" style="230" hidden="1" customWidth="1"/>
    <col min="25" max="25" width="19.5703125" style="229" hidden="1" customWidth="1"/>
    <col min="26" max="27" width="20.42578125" style="240" hidden="1" customWidth="1"/>
    <col min="28" max="28" width="19.5703125" style="229" hidden="1" customWidth="1"/>
    <col min="29" max="29" width="5.7109375" style="229" hidden="1" customWidth="1"/>
    <col min="30" max="30" width="5.5703125" style="229" hidden="1" customWidth="1"/>
    <col min="31" max="31" width="8.7109375" style="229" hidden="1" customWidth="1"/>
    <col min="32" max="32" width="6.7109375" style="229" hidden="1" customWidth="1"/>
    <col min="33" max="33" width="4.7109375" style="229" hidden="1" customWidth="1"/>
    <col min="34" max="34" width="7.85546875" style="229" hidden="1" customWidth="1"/>
    <col min="35" max="35" width="12.28515625" style="229" hidden="1" customWidth="1"/>
    <col min="36" max="36" width="18.7109375" style="230" hidden="1" customWidth="1"/>
    <col min="37" max="37" width="71.28515625" style="274" customWidth="1"/>
    <col min="38" max="16384" width="9.28515625" style="274"/>
  </cols>
  <sheetData>
    <row r="1" spans="1:38" s="263" customFormat="1" ht="33.6" customHeight="1">
      <c r="A1" s="243"/>
      <c r="B1" s="243" t="s">
        <v>116</v>
      </c>
      <c r="C1" s="244"/>
      <c r="D1" s="244"/>
      <c r="E1" s="322"/>
      <c r="F1" s="400" t="s">
        <v>117</v>
      </c>
      <c r="G1" s="400"/>
      <c r="H1" s="400"/>
      <c r="I1" s="400"/>
      <c r="J1" s="400" t="s">
        <v>597</v>
      </c>
      <c r="K1" s="400"/>
      <c r="L1" s="400"/>
      <c r="M1" s="400"/>
      <c r="N1" s="400"/>
      <c r="O1" s="401" t="s">
        <v>751</v>
      </c>
      <c r="P1" s="401"/>
      <c r="Q1" s="401"/>
      <c r="R1" s="401"/>
      <c r="S1" s="401"/>
      <c r="T1" s="402" t="s">
        <v>753</v>
      </c>
      <c r="U1" s="402"/>
      <c r="V1" s="402"/>
      <c r="W1" s="402"/>
      <c r="X1" s="245"/>
      <c r="Y1" s="244"/>
      <c r="Z1" s="246"/>
      <c r="AA1" s="246"/>
      <c r="AB1" s="244"/>
      <c r="AC1" s="403" t="s">
        <v>416</v>
      </c>
      <c r="AD1" s="404"/>
      <c r="AE1" s="405"/>
      <c r="AF1" s="397" t="s">
        <v>416</v>
      </c>
      <c r="AG1" s="398"/>
      <c r="AH1" s="398"/>
      <c r="AI1" s="399"/>
      <c r="AJ1" s="262"/>
    </row>
    <row r="2" spans="1:38" s="267" customFormat="1" ht="61.9" customHeight="1" thickBot="1">
      <c r="A2" s="238" t="s">
        <v>17</v>
      </c>
      <c r="B2" s="236" t="s">
        <v>108</v>
      </c>
      <c r="C2" s="236" t="s">
        <v>205</v>
      </c>
      <c r="D2" s="236" t="s">
        <v>118</v>
      </c>
      <c r="E2" s="237" t="s">
        <v>18</v>
      </c>
      <c r="F2" s="264" t="s">
        <v>485</v>
      </c>
      <c r="G2" s="264" t="s">
        <v>111</v>
      </c>
      <c r="H2" s="264" t="s">
        <v>19</v>
      </c>
      <c r="I2" s="264" t="s">
        <v>20</v>
      </c>
      <c r="J2" s="264" t="s">
        <v>595</v>
      </c>
      <c r="K2" s="264" t="s">
        <v>596</v>
      </c>
      <c r="L2" s="264" t="s">
        <v>112</v>
      </c>
      <c r="M2" s="264" t="s">
        <v>36</v>
      </c>
      <c r="N2" s="264" t="s">
        <v>37</v>
      </c>
      <c r="O2" s="301" t="s">
        <v>749</v>
      </c>
      <c r="P2" s="301" t="s">
        <v>750</v>
      </c>
      <c r="Q2" s="301" t="s">
        <v>113</v>
      </c>
      <c r="R2" s="301" t="s">
        <v>38</v>
      </c>
      <c r="S2" s="301" t="s">
        <v>39</v>
      </c>
      <c r="T2" s="334" t="s">
        <v>752</v>
      </c>
      <c r="U2" s="334" t="s">
        <v>114</v>
      </c>
      <c r="V2" s="334" t="s">
        <v>79</v>
      </c>
      <c r="W2" s="334" t="s">
        <v>40</v>
      </c>
      <c r="X2" s="231" t="s">
        <v>11</v>
      </c>
      <c r="Y2" s="238" t="s">
        <v>10</v>
      </c>
      <c r="Z2" s="238" t="s">
        <v>16</v>
      </c>
      <c r="AA2" s="238" t="s">
        <v>62</v>
      </c>
      <c r="AB2" s="237" t="s">
        <v>9</v>
      </c>
      <c r="AC2" s="265"/>
      <c r="AD2" s="324" t="s">
        <v>587</v>
      </c>
      <c r="AE2" s="324"/>
      <c r="AF2" s="323" t="s">
        <v>590</v>
      </c>
      <c r="AG2" s="323" t="s">
        <v>572</v>
      </c>
      <c r="AH2" s="323" t="s">
        <v>201</v>
      </c>
      <c r="AI2" s="323" t="s">
        <v>467</v>
      </c>
      <c r="AJ2" s="266" t="s">
        <v>115</v>
      </c>
    </row>
    <row r="3" spans="1:38" ht="168" customHeight="1" thickBot="1">
      <c r="A3" s="239" t="s">
        <v>107</v>
      </c>
      <c r="B3" s="258" t="s">
        <v>218</v>
      </c>
      <c r="C3" s="247" t="s">
        <v>219</v>
      </c>
      <c r="D3" s="248" t="s">
        <v>220</v>
      </c>
      <c r="E3" s="249" t="s">
        <v>221</v>
      </c>
      <c r="F3" s="268" t="s">
        <v>533</v>
      </c>
      <c r="G3" s="268"/>
      <c r="H3" s="269" t="s">
        <v>31</v>
      </c>
      <c r="I3" s="270"/>
      <c r="J3" s="275" t="s">
        <v>634</v>
      </c>
      <c r="K3" s="271"/>
      <c r="L3" s="272"/>
      <c r="M3" s="269" t="s">
        <v>22</v>
      </c>
      <c r="N3" s="270"/>
      <c r="O3" s="273" t="s">
        <v>634</v>
      </c>
      <c r="P3" s="273"/>
      <c r="Q3" s="328"/>
      <c r="R3" s="269" t="s">
        <v>22</v>
      </c>
      <c r="S3" s="270"/>
      <c r="T3" s="360" t="s">
        <v>915</v>
      </c>
      <c r="U3" s="359"/>
      <c r="V3" s="361" t="s">
        <v>22</v>
      </c>
      <c r="W3" s="362"/>
      <c r="X3" s="353"/>
      <c r="Y3" s="354" t="s">
        <v>201</v>
      </c>
      <c r="Z3" s="354" t="s">
        <v>384</v>
      </c>
      <c r="AA3" s="354" t="s">
        <v>404</v>
      </c>
      <c r="AB3" s="354" t="s">
        <v>202</v>
      </c>
      <c r="AC3" s="354" t="s">
        <v>572</v>
      </c>
      <c r="AD3" s="354"/>
      <c r="AE3" s="354"/>
      <c r="AF3" s="355"/>
      <c r="AG3" s="355" t="s">
        <v>591</v>
      </c>
      <c r="AH3" s="355"/>
      <c r="AI3" s="355"/>
      <c r="AJ3" s="356">
        <v>7</v>
      </c>
      <c r="AK3" s="356"/>
      <c r="AL3" s="356"/>
    </row>
    <row r="4" spans="1:38" ht="168" customHeight="1" thickBot="1">
      <c r="A4" s="239" t="s">
        <v>107</v>
      </c>
      <c r="B4" s="258" t="s">
        <v>222</v>
      </c>
      <c r="C4" s="247" t="s">
        <v>219</v>
      </c>
      <c r="D4" s="248" t="s">
        <v>223</v>
      </c>
      <c r="E4" s="249">
        <v>45352</v>
      </c>
      <c r="F4" s="268" t="s">
        <v>573</v>
      </c>
      <c r="G4" s="268"/>
      <c r="H4" s="269" t="s">
        <v>31</v>
      </c>
      <c r="I4" s="270"/>
      <c r="J4" s="271" t="s">
        <v>635</v>
      </c>
      <c r="K4" s="271"/>
      <c r="L4" s="272"/>
      <c r="M4" s="269" t="s">
        <v>31</v>
      </c>
      <c r="N4" s="270"/>
      <c r="O4" s="273" t="s">
        <v>771</v>
      </c>
      <c r="P4" s="273"/>
      <c r="Q4" s="328"/>
      <c r="R4" s="269" t="s">
        <v>22</v>
      </c>
      <c r="S4" s="270"/>
      <c r="T4" s="360" t="s">
        <v>916</v>
      </c>
      <c r="U4" s="359"/>
      <c r="V4" s="361" t="s">
        <v>22</v>
      </c>
      <c r="W4" s="362"/>
      <c r="X4" s="363"/>
      <c r="Y4" s="354" t="s">
        <v>201</v>
      </c>
      <c r="Z4" s="354" t="s">
        <v>385</v>
      </c>
      <c r="AA4" s="354" t="s">
        <v>404</v>
      </c>
      <c r="AB4" s="354" t="s">
        <v>202</v>
      </c>
      <c r="AC4" s="354" t="s">
        <v>572</v>
      </c>
      <c r="AD4" s="354"/>
      <c r="AE4" s="354"/>
      <c r="AF4" s="355"/>
      <c r="AG4" s="355" t="s">
        <v>591</v>
      </c>
      <c r="AH4" s="355"/>
      <c r="AI4" s="355"/>
      <c r="AJ4" s="356">
        <v>8</v>
      </c>
      <c r="AK4" s="356"/>
      <c r="AL4" s="356"/>
    </row>
    <row r="5" spans="1:38" ht="168" customHeight="1" thickBot="1">
      <c r="A5" s="239" t="s">
        <v>107</v>
      </c>
      <c r="B5" s="258" t="s">
        <v>224</v>
      </c>
      <c r="C5" s="247" t="s">
        <v>219</v>
      </c>
      <c r="D5" s="248" t="s">
        <v>225</v>
      </c>
      <c r="E5" s="249" t="s">
        <v>226</v>
      </c>
      <c r="F5" s="268" t="s">
        <v>545</v>
      </c>
      <c r="G5" s="268"/>
      <c r="H5" s="269" t="s">
        <v>31</v>
      </c>
      <c r="I5" s="270" t="s">
        <v>546</v>
      </c>
      <c r="J5" s="277" t="s">
        <v>636</v>
      </c>
      <c r="K5" s="276"/>
      <c r="L5" s="277"/>
      <c r="M5" s="269" t="s">
        <v>31</v>
      </c>
      <c r="N5" s="278"/>
      <c r="O5" s="273" t="s">
        <v>764</v>
      </c>
      <c r="P5" s="273"/>
      <c r="Q5" s="328"/>
      <c r="R5" s="269" t="s">
        <v>22</v>
      </c>
      <c r="S5" s="278"/>
      <c r="T5" s="336" t="s">
        <v>916</v>
      </c>
      <c r="U5" s="357"/>
      <c r="V5" s="361" t="s">
        <v>22</v>
      </c>
      <c r="W5" s="358"/>
      <c r="X5" s="363"/>
      <c r="Y5" s="354" t="s">
        <v>201</v>
      </c>
      <c r="Z5" s="354" t="s">
        <v>384</v>
      </c>
      <c r="AA5" s="354" t="s">
        <v>404</v>
      </c>
      <c r="AB5" s="354" t="s">
        <v>202</v>
      </c>
      <c r="AC5" s="354" t="s">
        <v>572</v>
      </c>
      <c r="AD5" s="354"/>
      <c r="AE5" s="354"/>
      <c r="AF5" s="355"/>
      <c r="AG5" s="355" t="s">
        <v>591</v>
      </c>
      <c r="AH5" s="355"/>
      <c r="AI5" s="355"/>
      <c r="AJ5" s="356">
        <v>9</v>
      </c>
      <c r="AK5" s="356"/>
      <c r="AL5" s="356"/>
    </row>
    <row r="6" spans="1:38" ht="168" customHeight="1" thickBot="1">
      <c r="A6" s="239" t="s">
        <v>107</v>
      </c>
      <c r="B6" s="258" t="s">
        <v>227</v>
      </c>
      <c r="C6" s="247" t="s">
        <v>228</v>
      </c>
      <c r="D6" s="248" t="s">
        <v>229</v>
      </c>
      <c r="E6" s="249">
        <v>45170</v>
      </c>
      <c r="F6" s="268" t="s">
        <v>526</v>
      </c>
      <c r="G6" s="268"/>
      <c r="H6" s="269" t="s">
        <v>31</v>
      </c>
      <c r="I6" s="270" t="s">
        <v>527</v>
      </c>
      <c r="J6" s="276" t="s">
        <v>637</v>
      </c>
      <c r="K6" s="276"/>
      <c r="L6" s="277"/>
      <c r="M6" s="269" t="s">
        <v>22</v>
      </c>
      <c r="N6" s="278"/>
      <c r="O6" s="273" t="s">
        <v>772</v>
      </c>
      <c r="P6" s="273"/>
      <c r="Q6" s="328"/>
      <c r="R6" s="269" t="s">
        <v>22</v>
      </c>
      <c r="S6" s="278"/>
      <c r="T6" s="336" t="s">
        <v>915</v>
      </c>
      <c r="U6" s="357"/>
      <c r="V6" s="361" t="s">
        <v>22</v>
      </c>
      <c r="W6" s="358"/>
      <c r="X6" s="363"/>
      <c r="Y6" s="354" t="s">
        <v>201</v>
      </c>
      <c r="Z6" s="354" t="s">
        <v>384</v>
      </c>
      <c r="AA6" s="354" t="s">
        <v>404</v>
      </c>
      <c r="AB6" s="354" t="s">
        <v>202</v>
      </c>
      <c r="AC6" s="354" t="s">
        <v>572</v>
      </c>
      <c r="AD6" s="354" t="s">
        <v>201</v>
      </c>
      <c r="AE6" s="354" t="s">
        <v>467</v>
      </c>
      <c r="AF6" s="355"/>
      <c r="AG6" s="355" t="s">
        <v>591</v>
      </c>
      <c r="AH6" s="355" t="s">
        <v>591</v>
      </c>
      <c r="AI6" s="355"/>
      <c r="AJ6" s="356">
        <v>10</v>
      </c>
      <c r="AK6" s="356"/>
      <c r="AL6" s="356"/>
    </row>
    <row r="7" spans="1:38" ht="168" customHeight="1" thickBot="1">
      <c r="A7" s="239" t="s">
        <v>107</v>
      </c>
      <c r="B7" s="258" t="s">
        <v>280</v>
      </c>
      <c r="C7" s="247" t="s">
        <v>281</v>
      </c>
      <c r="D7" s="248" t="s">
        <v>534</v>
      </c>
      <c r="E7" s="253" t="s">
        <v>282</v>
      </c>
      <c r="F7" s="268"/>
      <c r="G7" s="268"/>
      <c r="H7" s="269" t="s">
        <v>35</v>
      </c>
      <c r="I7" s="270"/>
      <c r="J7" s="271" t="s">
        <v>639</v>
      </c>
      <c r="K7" s="271"/>
      <c r="L7" s="272"/>
      <c r="M7" s="269" t="s">
        <v>22</v>
      </c>
      <c r="N7" s="270"/>
      <c r="O7" s="338" t="s">
        <v>917</v>
      </c>
      <c r="P7" s="273"/>
      <c r="Q7" s="328"/>
      <c r="R7" s="269" t="s">
        <v>22</v>
      </c>
      <c r="S7" s="270"/>
      <c r="T7" s="364" t="s">
        <v>915</v>
      </c>
      <c r="U7" s="359"/>
      <c r="V7" s="361" t="s">
        <v>22</v>
      </c>
      <c r="W7" s="362"/>
      <c r="X7" s="353"/>
      <c r="Y7" s="354" t="s">
        <v>201</v>
      </c>
      <c r="Z7" s="354" t="s">
        <v>384</v>
      </c>
      <c r="AA7" s="354" t="s">
        <v>407</v>
      </c>
      <c r="AB7" s="354" t="s">
        <v>202</v>
      </c>
      <c r="AC7" s="354" t="s">
        <v>572</v>
      </c>
      <c r="AD7" s="354"/>
      <c r="AE7" s="354"/>
      <c r="AF7" s="355"/>
      <c r="AG7" s="355" t="s">
        <v>591</v>
      </c>
      <c r="AH7" s="355"/>
      <c r="AI7" s="355"/>
      <c r="AJ7" s="356">
        <v>34</v>
      </c>
      <c r="AK7" s="356"/>
      <c r="AL7" s="356"/>
    </row>
    <row r="8" spans="1:38" ht="168" customHeight="1" thickBot="1">
      <c r="A8" s="239" t="s">
        <v>107</v>
      </c>
      <c r="B8" s="258" t="s">
        <v>283</v>
      </c>
      <c r="C8" s="247" t="s">
        <v>281</v>
      </c>
      <c r="D8" s="248" t="s">
        <v>284</v>
      </c>
      <c r="E8" s="253">
        <v>45352</v>
      </c>
      <c r="F8" s="268"/>
      <c r="G8" s="268"/>
      <c r="H8" s="269" t="s">
        <v>35</v>
      </c>
      <c r="I8" s="270"/>
      <c r="J8" s="279" t="s">
        <v>638</v>
      </c>
      <c r="K8" s="271"/>
      <c r="L8" s="272"/>
      <c r="M8" s="269" t="s">
        <v>31</v>
      </c>
      <c r="N8" s="270"/>
      <c r="O8" s="273" t="s">
        <v>765</v>
      </c>
      <c r="P8" s="273"/>
      <c r="Q8" s="328"/>
      <c r="R8" s="269" t="s">
        <v>31</v>
      </c>
      <c r="S8" s="270"/>
      <c r="T8" s="348" t="s">
        <v>882</v>
      </c>
      <c r="U8" s="359"/>
      <c r="V8" s="361" t="s">
        <v>22</v>
      </c>
      <c r="W8" s="349" t="s">
        <v>883</v>
      </c>
      <c r="X8" s="363"/>
      <c r="Y8" s="354" t="s">
        <v>201</v>
      </c>
      <c r="Z8" s="354" t="s">
        <v>384</v>
      </c>
      <c r="AA8" s="354" t="s">
        <v>407</v>
      </c>
      <c r="AB8" s="354" t="s">
        <v>202</v>
      </c>
      <c r="AC8" s="354" t="s">
        <v>572</v>
      </c>
      <c r="AD8" s="354"/>
      <c r="AE8" s="354"/>
      <c r="AF8" s="355"/>
      <c r="AG8" s="355" t="s">
        <v>591</v>
      </c>
      <c r="AH8" s="355"/>
      <c r="AI8" s="355"/>
      <c r="AJ8" s="356">
        <v>35</v>
      </c>
      <c r="AK8" s="356"/>
      <c r="AL8" s="356"/>
    </row>
    <row r="9" spans="1:38" ht="168" customHeight="1" thickBot="1">
      <c r="A9" s="239" t="s">
        <v>107</v>
      </c>
      <c r="B9" s="258" t="s">
        <v>285</v>
      </c>
      <c r="C9" s="247" t="s">
        <v>281</v>
      </c>
      <c r="D9" s="248" t="s">
        <v>286</v>
      </c>
      <c r="E9" s="249">
        <v>45108</v>
      </c>
      <c r="F9" s="268" t="s">
        <v>548</v>
      </c>
      <c r="G9" s="268"/>
      <c r="H9" s="269" t="s">
        <v>31</v>
      </c>
      <c r="I9" s="282" t="s">
        <v>547</v>
      </c>
      <c r="J9" s="344" t="s">
        <v>547</v>
      </c>
      <c r="K9" s="271"/>
      <c r="L9" s="272"/>
      <c r="M9" s="269" t="s">
        <v>22</v>
      </c>
      <c r="N9" s="270"/>
      <c r="O9" s="273" t="s">
        <v>772</v>
      </c>
      <c r="P9" s="273"/>
      <c r="Q9" s="328"/>
      <c r="R9" s="269" t="s">
        <v>22</v>
      </c>
      <c r="S9" s="270"/>
      <c r="T9" s="364"/>
      <c r="U9" s="359"/>
      <c r="V9" s="361" t="s">
        <v>22</v>
      </c>
      <c r="W9" s="362"/>
      <c r="X9" s="363"/>
      <c r="Y9" s="354" t="s">
        <v>201</v>
      </c>
      <c r="Z9" s="354" t="s">
        <v>384</v>
      </c>
      <c r="AA9" s="354" t="s">
        <v>407</v>
      </c>
      <c r="AB9" s="354" t="s">
        <v>202</v>
      </c>
      <c r="AC9" s="354" t="s">
        <v>572</v>
      </c>
      <c r="AD9" s="354"/>
      <c r="AE9" s="354"/>
      <c r="AF9" s="355"/>
      <c r="AG9" s="355" t="s">
        <v>591</v>
      </c>
      <c r="AH9" s="355"/>
      <c r="AI9" s="355"/>
      <c r="AJ9" s="356">
        <v>36</v>
      </c>
      <c r="AK9" s="356"/>
      <c r="AL9" s="356"/>
    </row>
    <row r="10" spans="1:38" ht="168" customHeight="1" thickBot="1">
      <c r="A10" s="239" t="s">
        <v>107</v>
      </c>
      <c r="B10" s="258" t="s">
        <v>301</v>
      </c>
      <c r="C10" s="247" t="s">
        <v>8</v>
      </c>
      <c r="D10" s="248" t="s">
        <v>159</v>
      </c>
      <c r="E10" s="249">
        <v>45261</v>
      </c>
      <c r="F10" s="268" t="s">
        <v>535</v>
      </c>
      <c r="G10" s="268"/>
      <c r="H10" s="269" t="s">
        <v>31</v>
      </c>
      <c r="I10" s="272"/>
      <c r="J10" s="281" t="s">
        <v>640</v>
      </c>
      <c r="K10" s="280"/>
      <c r="L10" s="280"/>
      <c r="M10" s="269" t="s">
        <v>31</v>
      </c>
      <c r="N10" s="270"/>
      <c r="O10" s="281" t="s">
        <v>766</v>
      </c>
      <c r="P10" s="326"/>
      <c r="Q10" s="280"/>
      <c r="R10" s="269" t="s">
        <v>22</v>
      </c>
      <c r="S10" s="270"/>
      <c r="T10" s="365"/>
      <c r="U10" s="366"/>
      <c r="V10" s="361" t="s">
        <v>22</v>
      </c>
      <c r="W10" s="367"/>
      <c r="X10" s="363"/>
      <c r="Y10" s="354" t="s">
        <v>201</v>
      </c>
      <c r="Z10" s="354" t="s">
        <v>384</v>
      </c>
      <c r="AA10" s="354" t="s">
        <v>412</v>
      </c>
      <c r="AB10" s="354" t="s">
        <v>202</v>
      </c>
      <c r="AC10" s="354" t="s">
        <v>201</v>
      </c>
      <c r="AD10" s="354" t="s">
        <v>572</v>
      </c>
      <c r="AE10" s="354"/>
      <c r="AF10" s="355"/>
      <c r="AG10" s="355" t="s">
        <v>591</v>
      </c>
      <c r="AH10" s="355" t="s">
        <v>591</v>
      </c>
      <c r="AI10" s="355"/>
      <c r="AJ10" s="356">
        <v>45</v>
      </c>
      <c r="AK10" s="356"/>
      <c r="AL10" s="356"/>
    </row>
    <row r="11" spans="1:38" ht="168" customHeight="1" thickBot="1">
      <c r="A11" s="239" t="s">
        <v>107</v>
      </c>
      <c r="B11" s="258" t="s">
        <v>302</v>
      </c>
      <c r="C11" s="247" t="s">
        <v>133</v>
      </c>
      <c r="D11" s="248" t="s">
        <v>94</v>
      </c>
      <c r="E11" s="249">
        <v>45231</v>
      </c>
      <c r="F11" s="268" t="s">
        <v>536</v>
      </c>
      <c r="G11" s="268"/>
      <c r="H11" s="269" t="s">
        <v>31</v>
      </c>
      <c r="I11" s="270"/>
      <c r="J11" s="306"/>
      <c r="K11" s="326"/>
      <c r="L11" s="280"/>
      <c r="M11" s="269" t="s">
        <v>31</v>
      </c>
      <c r="N11" s="270"/>
      <c r="O11" s="329" t="s">
        <v>767</v>
      </c>
      <c r="P11" s="326"/>
      <c r="Q11" s="280"/>
      <c r="R11" s="269" t="s">
        <v>22</v>
      </c>
      <c r="S11" s="278"/>
      <c r="T11" s="365" t="s">
        <v>916</v>
      </c>
      <c r="U11" s="366"/>
      <c r="V11" s="361" t="s">
        <v>22</v>
      </c>
      <c r="W11" s="358"/>
      <c r="X11" s="363"/>
      <c r="Y11" s="354" t="s">
        <v>201</v>
      </c>
      <c r="Z11" s="354" t="s">
        <v>384</v>
      </c>
      <c r="AA11" s="354" t="s">
        <v>412</v>
      </c>
      <c r="AB11" s="354" t="s">
        <v>202</v>
      </c>
      <c r="AC11" s="354" t="s">
        <v>467</v>
      </c>
      <c r="AD11" s="354" t="s">
        <v>201</v>
      </c>
      <c r="AE11" s="354"/>
      <c r="AF11" s="355"/>
      <c r="AG11" s="355"/>
      <c r="AH11" s="355" t="s">
        <v>591</v>
      </c>
      <c r="AI11" s="355" t="s">
        <v>591</v>
      </c>
      <c r="AJ11" s="356">
        <v>46</v>
      </c>
      <c r="AK11" s="356"/>
      <c r="AL11" s="356"/>
    </row>
    <row r="12" spans="1:38" ht="168" customHeight="1" thickBot="1">
      <c r="A12" s="239" t="s">
        <v>107</v>
      </c>
      <c r="B12" s="258" t="s">
        <v>303</v>
      </c>
      <c r="C12" s="247" t="s">
        <v>133</v>
      </c>
      <c r="D12" s="248" t="s">
        <v>95</v>
      </c>
      <c r="E12" s="249">
        <v>45323</v>
      </c>
      <c r="F12" s="268"/>
      <c r="G12" s="268"/>
      <c r="H12" s="269" t="s">
        <v>35</v>
      </c>
      <c r="I12" s="270"/>
      <c r="J12" s="283"/>
      <c r="K12" s="284"/>
      <c r="L12" s="304"/>
      <c r="M12" s="269" t="s">
        <v>35</v>
      </c>
      <c r="N12" s="270"/>
      <c r="O12" s="273" t="s">
        <v>773</v>
      </c>
      <c r="P12" s="273"/>
      <c r="Q12" s="328"/>
      <c r="R12" s="269" t="s">
        <v>31</v>
      </c>
      <c r="S12" s="270"/>
      <c r="T12" s="368" t="s">
        <v>884</v>
      </c>
      <c r="U12" s="351"/>
      <c r="V12" s="361" t="s">
        <v>22</v>
      </c>
      <c r="W12" s="362"/>
      <c r="X12" s="353"/>
      <c r="Y12" s="354" t="s">
        <v>201</v>
      </c>
      <c r="Z12" s="354" t="s">
        <v>384</v>
      </c>
      <c r="AA12" s="354" t="s">
        <v>412</v>
      </c>
      <c r="AB12" s="354" t="s">
        <v>202</v>
      </c>
      <c r="AC12" s="354" t="s">
        <v>201</v>
      </c>
      <c r="AD12" s="354" t="s">
        <v>467</v>
      </c>
      <c r="AE12" s="354"/>
      <c r="AF12" s="355"/>
      <c r="AG12" s="355"/>
      <c r="AH12" s="355" t="s">
        <v>591</v>
      </c>
      <c r="AI12" s="355" t="s">
        <v>591</v>
      </c>
      <c r="AJ12" s="356">
        <v>47</v>
      </c>
      <c r="AK12" s="356"/>
      <c r="AL12" s="356"/>
    </row>
    <row r="13" spans="1:38" ht="168" customHeight="1" thickBot="1">
      <c r="A13" s="239" t="s">
        <v>107</v>
      </c>
      <c r="B13" s="258" t="s">
        <v>304</v>
      </c>
      <c r="C13" s="247" t="s">
        <v>8</v>
      </c>
      <c r="D13" s="248" t="s">
        <v>80</v>
      </c>
      <c r="E13" s="249" t="s">
        <v>134</v>
      </c>
      <c r="F13" s="268" t="s">
        <v>528</v>
      </c>
      <c r="G13" s="268" t="s">
        <v>529</v>
      </c>
      <c r="H13" s="269" t="s">
        <v>31</v>
      </c>
      <c r="I13" s="270"/>
      <c r="J13" s="271" t="s">
        <v>649</v>
      </c>
      <c r="K13" s="271" t="s">
        <v>650</v>
      </c>
      <c r="L13" s="272" t="s">
        <v>529</v>
      </c>
      <c r="M13" s="269" t="s">
        <v>31</v>
      </c>
      <c r="N13" s="270"/>
      <c r="O13" s="273" t="s">
        <v>774</v>
      </c>
      <c r="P13" s="273" t="s">
        <v>768</v>
      </c>
      <c r="Q13" s="328" t="s">
        <v>529</v>
      </c>
      <c r="R13" s="269" t="s">
        <v>31</v>
      </c>
      <c r="S13" s="270"/>
      <c r="T13" s="348" t="s">
        <v>885</v>
      </c>
      <c r="U13" s="347" t="s">
        <v>768</v>
      </c>
      <c r="V13" s="361" t="s">
        <v>22</v>
      </c>
      <c r="W13" s="362"/>
      <c r="X13" s="363"/>
      <c r="Y13" s="354" t="s">
        <v>201</v>
      </c>
      <c r="Z13" s="354" t="s">
        <v>384</v>
      </c>
      <c r="AA13" s="354" t="s">
        <v>412</v>
      </c>
      <c r="AB13" s="354" t="s">
        <v>202</v>
      </c>
      <c r="AC13" s="354" t="s">
        <v>572</v>
      </c>
      <c r="AD13" s="354" t="s">
        <v>467</v>
      </c>
      <c r="AE13" s="354"/>
      <c r="AF13" s="355"/>
      <c r="AG13" s="355" t="s">
        <v>591</v>
      </c>
      <c r="AH13" s="355"/>
      <c r="AI13" s="355" t="s">
        <v>591</v>
      </c>
      <c r="AJ13" s="356">
        <v>48</v>
      </c>
      <c r="AK13" s="356"/>
      <c r="AL13" s="356"/>
    </row>
    <row r="14" spans="1:38" ht="168" customHeight="1" thickBot="1">
      <c r="A14" s="239" t="s">
        <v>107</v>
      </c>
      <c r="B14" s="258" t="s">
        <v>305</v>
      </c>
      <c r="C14" s="247" t="s">
        <v>8</v>
      </c>
      <c r="D14" s="248" t="s">
        <v>86</v>
      </c>
      <c r="E14" s="249" t="s">
        <v>134</v>
      </c>
      <c r="F14" s="268" t="s">
        <v>532</v>
      </c>
      <c r="G14" s="268" t="s">
        <v>531</v>
      </c>
      <c r="H14" s="269" t="s">
        <v>31</v>
      </c>
      <c r="I14" s="270" t="s">
        <v>530</v>
      </c>
      <c r="J14" s="271" t="s">
        <v>651</v>
      </c>
      <c r="K14" s="271" t="s">
        <v>652</v>
      </c>
      <c r="L14" s="272" t="s">
        <v>653</v>
      </c>
      <c r="M14" s="269" t="s">
        <v>31</v>
      </c>
      <c r="N14" s="270"/>
      <c r="O14" s="273" t="s">
        <v>769</v>
      </c>
      <c r="P14" s="273" t="s">
        <v>770</v>
      </c>
      <c r="Q14" s="328" t="s">
        <v>653</v>
      </c>
      <c r="R14" s="269" t="s">
        <v>31</v>
      </c>
      <c r="S14" s="270" t="s">
        <v>775</v>
      </c>
      <c r="T14" s="348" t="s">
        <v>886</v>
      </c>
      <c r="U14" s="347" t="s">
        <v>887</v>
      </c>
      <c r="V14" s="361" t="s">
        <v>22</v>
      </c>
      <c r="W14" s="362"/>
      <c r="X14" s="363"/>
      <c r="Y14" s="354" t="s">
        <v>201</v>
      </c>
      <c r="Z14" s="354" t="s">
        <v>384</v>
      </c>
      <c r="AA14" s="354" t="s">
        <v>412</v>
      </c>
      <c r="AB14" s="354" t="s">
        <v>202</v>
      </c>
      <c r="AC14" s="354" t="s">
        <v>572</v>
      </c>
      <c r="AD14" s="354" t="s">
        <v>467</v>
      </c>
      <c r="AE14" s="354"/>
      <c r="AF14" s="355"/>
      <c r="AG14" s="355" t="s">
        <v>591</v>
      </c>
      <c r="AH14" s="355"/>
      <c r="AI14" s="355" t="s">
        <v>591</v>
      </c>
      <c r="AJ14" s="356">
        <v>49</v>
      </c>
      <c r="AK14" s="356"/>
      <c r="AL14" s="356"/>
    </row>
    <row r="15" spans="1:38" ht="168" customHeight="1" thickBot="1">
      <c r="A15" s="239" t="s">
        <v>715</v>
      </c>
      <c r="B15" s="258" t="s">
        <v>369</v>
      </c>
      <c r="C15" s="247" t="s">
        <v>176</v>
      </c>
      <c r="D15" s="248" t="s">
        <v>177</v>
      </c>
      <c r="E15" s="249">
        <v>45261</v>
      </c>
      <c r="F15" s="268" t="s">
        <v>504</v>
      </c>
      <c r="G15" s="268"/>
      <c r="H15" s="269" t="s">
        <v>31</v>
      </c>
      <c r="I15" s="270"/>
      <c r="J15" s="271" t="s">
        <v>605</v>
      </c>
      <c r="K15" s="271"/>
      <c r="L15" s="272"/>
      <c r="M15" s="269" t="s">
        <v>31</v>
      </c>
      <c r="N15" s="270"/>
      <c r="O15" s="273" t="s">
        <v>776</v>
      </c>
      <c r="P15" s="273"/>
      <c r="Q15" s="328"/>
      <c r="R15" s="269" t="s">
        <v>22</v>
      </c>
      <c r="S15" s="270"/>
      <c r="T15" s="369" t="s">
        <v>776</v>
      </c>
      <c r="U15" s="359"/>
      <c r="V15" s="361" t="s">
        <v>22</v>
      </c>
      <c r="W15" s="362"/>
      <c r="X15" s="363"/>
      <c r="Y15" s="354" t="s">
        <v>833</v>
      </c>
      <c r="Z15" s="354" t="s">
        <v>401</v>
      </c>
      <c r="AA15" s="354" t="s">
        <v>412</v>
      </c>
      <c r="AB15" s="354" t="s">
        <v>204</v>
      </c>
      <c r="AC15" s="354" t="s">
        <v>467</v>
      </c>
      <c r="AD15" s="354"/>
      <c r="AE15" s="354"/>
      <c r="AF15" s="355"/>
      <c r="AG15" s="355"/>
      <c r="AH15" s="355"/>
      <c r="AI15" s="355" t="s">
        <v>591</v>
      </c>
      <c r="AJ15" s="356">
        <v>113</v>
      </c>
      <c r="AK15" s="356"/>
      <c r="AL15" s="356"/>
    </row>
    <row r="16" spans="1:38" ht="168" customHeight="1" thickBot="1">
      <c r="A16" s="239" t="s">
        <v>715</v>
      </c>
      <c r="B16" s="258" t="s">
        <v>370</v>
      </c>
      <c r="C16" s="247" t="s">
        <v>176</v>
      </c>
      <c r="D16" s="248" t="s">
        <v>99</v>
      </c>
      <c r="E16" s="249">
        <v>45352</v>
      </c>
      <c r="F16" s="268">
        <v>4.33</v>
      </c>
      <c r="G16" s="268">
        <v>4.5</v>
      </c>
      <c r="H16" s="269" t="s">
        <v>31</v>
      </c>
      <c r="I16" s="270" t="s">
        <v>503</v>
      </c>
      <c r="J16" s="271">
        <v>4.13</v>
      </c>
      <c r="K16" s="271">
        <v>4.24</v>
      </c>
      <c r="L16" s="272">
        <v>4.5</v>
      </c>
      <c r="M16" s="269" t="s">
        <v>31</v>
      </c>
      <c r="N16" s="270" t="s">
        <v>606</v>
      </c>
      <c r="O16" s="273" t="s">
        <v>777</v>
      </c>
      <c r="P16" s="273"/>
      <c r="Q16" s="328"/>
      <c r="R16" s="269" t="s">
        <v>31</v>
      </c>
      <c r="S16" s="270"/>
      <c r="T16" s="348" t="s">
        <v>855</v>
      </c>
      <c r="U16" s="359"/>
      <c r="V16" s="361" t="s">
        <v>22</v>
      </c>
      <c r="W16" s="362"/>
      <c r="X16" s="363"/>
      <c r="Y16" s="354" t="s">
        <v>833</v>
      </c>
      <c r="Z16" s="354" t="s">
        <v>401</v>
      </c>
      <c r="AA16" s="354" t="s">
        <v>412</v>
      </c>
      <c r="AB16" s="354" t="s">
        <v>204</v>
      </c>
      <c r="AC16" s="354" t="s">
        <v>467</v>
      </c>
      <c r="AD16" s="354"/>
      <c r="AE16" s="354"/>
      <c r="AF16" s="355"/>
      <c r="AG16" s="355"/>
      <c r="AH16" s="355"/>
      <c r="AI16" s="355" t="s">
        <v>591</v>
      </c>
      <c r="AJ16" s="356">
        <v>114</v>
      </c>
      <c r="AK16" s="356"/>
      <c r="AL16" s="356"/>
    </row>
    <row r="17" spans="1:38" ht="168" customHeight="1" thickBot="1">
      <c r="A17" s="239" t="s">
        <v>715</v>
      </c>
      <c r="B17" s="258" t="s">
        <v>438</v>
      </c>
      <c r="C17" s="247" t="s">
        <v>178</v>
      </c>
      <c r="D17" s="248" t="s">
        <v>441</v>
      </c>
      <c r="E17" s="249">
        <v>45352</v>
      </c>
      <c r="F17" s="296">
        <v>2577027.66</v>
      </c>
      <c r="G17" s="297" t="s">
        <v>516</v>
      </c>
      <c r="H17" s="269" t="s">
        <v>31</v>
      </c>
      <c r="I17" s="270" t="s">
        <v>517</v>
      </c>
      <c r="J17" s="271" t="s">
        <v>645</v>
      </c>
      <c r="K17" s="314">
        <v>6696596.8899999997</v>
      </c>
      <c r="L17" s="314">
        <v>6696596.8899999997</v>
      </c>
      <c r="M17" s="269" t="s">
        <v>31</v>
      </c>
      <c r="N17" s="270" t="s">
        <v>646</v>
      </c>
      <c r="O17" s="273" t="s">
        <v>778</v>
      </c>
      <c r="P17" s="273" t="s">
        <v>838</v>
      </c>
      <c r="Q17" s="297" t="s">
        <v>516</v>
      </c>
      <c r="R17" s="269" t="s">
        <v>31</v>
      </c>
      <c r="S17" s="270"/>
      <c r="T17" s="370">
        <v>2470549.62</v>
      </c>
      <c r="U17" s="359"/>
      <c r="V17" s="361" t="s">
        <v>22</v>
      </c>
      <c r="W17" s="348" t="s">
        <v>889</v>
      </c>
      <c r="X17" s="353"/>
      <c r="Y17" s="354" t="s">
        <v>833</v>
      </c>
      <c r="Z17" s="354" t="s">
        <v>401</v>
      </c>
      <c r="AA17" s="354" t="s">
        <v>412</v>
      </c>
      <c r="AB17" s="354" t="s">
        <v>204</v>
      </c>
      <c r="AC17" s="354" t="s">
        <v>467</v>
      </c>
      <c r="AD17" s="354"/>
      <c r="AE17" s="354"/>
      <c r="AF17" s="355"/>
      <c r="AG17" s="355"/>
      <c r="AH17" s="355"/>
      <c r="AI17" s="355" t="s">
        <v>591</v>
      </c>
      <c r="AJ17" s="356">
        <v>115</v>
      </c>
      <c r="AK17" s="356"/>
      <c r="AL17" s="356"/>
    </row>
    <row r="18" spans="1:38" ht="168" customHeight="1" thickBot="1">
      <c r="A18" s="239" t="s">
        <v>715</v>
      </c>
      <c r="B18" s="258" t="s">
        <v>439</v>
      </c>
      <c r="C18" s="247" t="s">
        <v>178</v>
      </c>
      <c r="D18" s="248" t="s">
        <v>442</v>
      </c>
      <c r="E18" s="249">
        <v>45352</v>
      </c>
      <c r="F18" s="296">
        <v>2297592.2799999998</v>
      </c>
      <c r="G18" s="268" t="s">
        <v>518</v>
      </c>
      <c r="H18" s="269" t="s">
        <v>31</v>
      </c>
      <c r="I18" s="270" t="s">
        <v>519</v>
      </c>
      <c r="J18" s="272"/>
      <c r="K18" s="315">
        <v>1858910.8</v>
      </c>
      <c r="L18" s="272" t="s">
        <v>648</v>
      </c>
      <c r="M18" s="269" t="s">
        <v>31</v>
      </c>
      <c r="N18" s="270" t="s">
        <v>698</v>
      </c>
      <c r="O18" s="273" t="s">
        <v>747</v>
      </c>
      <c r="P18" s="273" t="s">
        <v>839</v>
      </c>
      <c r="Q18" s="297" t="s">
        <v>518</v>
      </c>
      <c r="R18" s="269" t="s">
        <v>31</v>
      </c>
      <c r="S18" s="270"/>
      <c r="T18" s="370">
        <v>882823.1</v>
      </c>
      <c r="U18" s="359"/>
      <c r="V18" s="361" t="s">
        <v>22</v>
      </c>
      <c r="W18" s="337" t="s">
        <v>892</v>
      </c>
      <c r="X18" s="353"/>
      <c r="Y18" s="354" t="s">
        <v>833</v>
      </c>
      <c r="Z18" s="354" t="s">
        <v>401</v>
      </c>
      <c r="AA18" s="354" t="s">
        <v>412</v>
      </c>
      <c r="AB18" s="354" t="s">
        <v>204</v>
      </c>
      <c r="AC18" s="354" t="s">
        <v>467</v>
      </c>
      <c r="AD18" s="354"/>
      <c r="AE18" s="354"/>
      <c r="AF18" s="355"/>
      <c r="AG18" s="355"/>
      <c r="AH18" s="355"/>
      <c r="AI18" s="355" t="s">
        <v>591</v>
      </c>
      <c r="AJ18" s="356">
        <v>116</v>
      </c>
      <c r="AK18" s="356"/>
      <c r="AL18" s="356"/>
    </row>
    <row r="19" spans="1:38" ht="168" customHeight="1" thickBot="1">
      <c r="A19" s="239" t="s">
        <v>715</v>
      </c>
      <c r="B19" s="258" t="s">
        <v>440</v>
      </c>
      <c r="C19" s="247" t="s">
        <v>178</v>
      </c>
      <c r="D19" s="248" t="s">
        <v>443</v>
      </c>
      <c r="E19" s="249">
        <v>45352</v>
      </c>
      <c r="F19" s="268" t="s">
        <v>520</v>
      </c>
      <c r="G19" s="268" t="s">
        <v>521</v>
      </c>
      <c r="H19" s="269" t="s">
        <v>35</v>
      </c>
      <c r="I19" s="270" t="s">
        <v>583</v>
      </c>
      <c r="J19" s="272" t="s">
        <v>645</v>
      </c>
      <c r="K19" s="313">
        <v>6696596.8899999997</v>
      </c>
      <c r="L19" s="314">
        <v>6696596.8899999997</v>
      </c>
      <c r="M19" s="269" t="s">
        <v>31</v>
      </c>
      <c r="N19" s="270" t="s">
        <v>646</v>
      </c>
      <c r="O19" s="273" t="s">
        <v>779</v>
      </c>
      <c r="P19" s="273" t="s">
        <v>840</v>
      </c>
      <c r="Q19" s="268" t="s">
        <v>521</v>
      </c>
      <c r="R19" s="269" t="s">
        <v>31</v>
      </c>
      <c r="S19" s="270"/>
      <c r="T19" s="371">
        <v>71978.38</v>
      </c>
      <c r="U19" s="359"/>
      <c r="V19" s="361" t="s">
        <v>22</v>
      </c>
      <c r="W19" s="362"/>
      <c r="X19" s="353"/>
      <c r="Y19" s="354" t="s">
        <v>833</v>
      </c>
      <c r="Z19" s="372" t="s">
        <v>401</v>
      </c>
      <c r="AA19" s="354" t="s">
        <v>412</v>
      </c>
      <c r="AB19" s="373" t="s">
        <v>204</v>
      </c>
      <c r="AC19" s="354" t="s">
        <v>467</v>
      </c>
      <c r="AD19" s="354"/>
      <c r="AE19" s="354"/>
      <c r="AF19" s="355"/>
      <c r="AG19" s="355"/>
      <c r="AH19" s="355"/>
      <c r="AI19" s="355" t="s">
        <v>591</v>
      </c>
      <c r="AJ19" s="356">
        <v>117</v>
      </c>
      <c r="AK19" s="356"/>
      <c r="AL19" s="356"/>
    </row>
    <row r="20" spans="1:38" ht="168" customHeight="1" thickBot="1">
      <c r="A20" s="239" t="s">
        <v>715</v>
      </c>
      <c r="B20" s="258" t="s">
        <v>432</v>
      </c>
      <c r="C20" s="247" t="s">
        <v>179</v>
      </c>
      <c r="D20" s="248" t="s">
        <v>435</v>
      </c>
      <c r="E20" s="249">
        <v>45352</v>
      </c>
      <c r="F20" s="295">
        <v>0.91</v>
      </c>
      <c r="G20" s="298"/>
      <c r="H20" s="269" t="s">
        <v>31</v>
      </c>
      <c r="I20" s="270" t="s">
        <v>592</v>
      </c>
      <c r="J20" s="314">
        <v>1858910.8</v>
      </c>
      <c r="K20" s="315">
        <v>1858910.8</v>
      </c>
      <c r="L20" s="272" t="s">
        <v>648</v>
      </c>
      <c r="M20" s="269" t="s">
        <v>31</v>
      </c>
      <c r="N20" s="270" t="s">
        <v>698</v>
      </c>
      <c r="O20" s="328" t="s">
        <v>780</v>
      </c>
      <c r="P20" s="273" t="s">
        <v>841</v>
      </c>
      <c r="Q20" s="298">
        <v>0.9</v>
      </c>
      <c r="R20" s="269" t="s">
        <v>31</v>
      </c>
      <c r="S20" s="270"/>
      <c r="T20" s="374">
        <v>0.95040000000000002</v>
      </c>
      <c r="U20" s="359"/>
      <c r="V20" s="361" t="s">
        <v>22</v>
      </c>
      <c r="W20" s="348"/>
      <c r="X20" s="353"/>
      <c r="Y20" s="354" t="s">
        <v>833</v>
      </c>
      <c r="Z20" s="354" t="s">
        <v>401</v>
      </c>
      <c r="AA20" s="354" t="s">
        <v>412</v>
      </c>
      <c r="AB20" s="354" t="s">
        <v>204</v>
      </c>
      <c r="AC20" s="354" t="s">
        <v>467</v>
      </c>
      <c r="AD20" s="354"/>
      <c r="AE20" s="354"/>
      <c r="AF20" s="355"/>
      <c r="AG20" s="355"/>
      <c r="AH20" s="355"/>
      <c r="AI20" s="355" t="s">
        <v>591</v>
      </c>
      <c r="AJ20" s="356">
        <v>118</v>
      </c>
      <c r="AK20" s="356"/>
      <c r="AL20" s="356"/>
    </row>
    <row r="21" spans="1:38" ht="168" customHeight="1" thickBot="1">
      <c r="A21" s="239" t="s">
        <v>715</v>
      </c>
      <c r="B21" s="258" t="s">
        <v>433</v>
      </c>
      <c r="C21" s="247" t="s">
        <v>179</v>
      </c>
      <c r="D21" s="248" t="s">
        <v>436</v>
      </c>
      <c r="E21" s="249">
        <v>45352</v>
      </c>
      <c r="F21" s="295">
        <v>0.85</v>
      </c>
      <c r="G21" s="298">
        <v>0.9</v>
      </c>
      <c r="H21" s="269" t="s">
        <v>31</v>
      </c>
      <c r="I21" s="270" t="s">
        <v>522</v>
      </c>
      <c r="J21" s="314">
        <v>106546.36</v>
      </c>
      <c r="K21" s="313">
        <v>106546.36</v>
      </c>
      <c r="L21" s="314">
        <v>106546.36</v>
      </c>
      <c r="M21" s="269" t="s">
        <v>31</v>
      </c>
      <c r="N21" s="316" t="s">
        <v>690</v>
      </c>
      <c r="O21" s="328" t="s">
        <v>842</v>
      </c>
      <c r="P21" s="273" t="s">
        <v>843</v>
      </c>
      <c r="Q21" s="298">
        <v>0.9</v>
      </c>
      <c r="R21" s="269" t="s">
        <v>31</v>
      </c>
      <c r="S21" s="270"/>
      <c r="T21" s="374">
        <v>0.86709999999999998</v>
      </c>
      <c r="U21" s="359"/>
      <c r="V21" s="361" t="s">
        <v>23</v>
      </c>
      <c r="W21" s="360" t="s">
        <v>893</v>
      </c>
      <c r="X21" s="353"/>
      <c r="Y21" s="354" t="s">
        <v>833</v>
      </c>
      <c r="Z21" s="354" t="s">
        <v>401</v>
      </c>
      <c r="AA21" s="354" t="s">
        <v>412</v>
      </c>
      <c r="AB21" s="354" t="s">
        <v>204</v>
      </c>
      <c r="AC21" s="354" t="s">
        <v>467</v>
      </c>
      <c r="AD21" s="354"/>
      <c r="AE21" s="354"/>
      <c r="AF21" s="355"/>
      <c r="AG21" s="355"/>
      <c r="AH21" s="355"/>
      <c r="AI21" s="355" t="s">
        <v>591</v>
      </c>
      <c r="AJ21" s="356">
        <v>119</v>
      </c>
      <c r="AK21" s="356"/>
      <c r="AL21" s="356"/>
    </row>
    <row r="22" spans="1:38" ht="168" customHeight="1" thickBot="1">
      <c r="A22" s="239" t="s">
        <v>715</v>
      </c>
      <c r="B22" s="258" t="s">
        <v>434</v>
      </c>
      <c r="C22" s="247" t="s">
        <v>179</v>
      </c>
      <c r="D22" s="248" t="s">
        <v>437</v>
      </c>
      <c r="E22" s="249">
        <v>45352</v>
      </c>
      <c r="F22" s="295">
        <v>0.33</v>
      </c>
      <c r="G22" s="298">
        <v>0.5</v>
      </c>
      <c r="H22" s="269" t="s">
        <v>31</v>
      </c>
      <c r="I22" s="270"/>
      <c r="J22" s="319"/>
      <c r="K22" s="275">
        <v>0.77190000000000003</v>
      </c>
      <c r="L22" s="272"/>
      <c r="M22" s="269" t="s">
        <v>31</v>
      </c>
      <c r="N22" s="270" t="s">
        <v>684</v>
      </c>
      <c r="O22" s="328" t="s">
        <v>781</v>
      </c>
      <c r="P22" s="273" t="s">
        <v>844</v>
      </c>
      <c r="Q22" s="298">
        <v>0.5</v>
      </c>
      <c r="R22" s="269" t="s">
        <v>31</v>
      </c>
      <c r="S22" s="270"/>
      <c r="T22" s="337" t="s">
        <v>908</v>
      </c>
      <c r="U22" s="359"/>
      <c r="V22" s="361" t="s">
        <v>22</v>
      </c>
      <c r="W22" s="352" t="s">
        <v>894</v>
      </c>
      <c r="X22" s="353"/>
      <c r="Y22" s="354" t="s">
        <v>833</v>
      </c>
      <c r="Z22" s="354" t="s">
        <v>401</v>
      </c>
      <c r="AA22" s="354" t="s">
        <v>412</v>
      </c>
      <c r="AB22" s="354" t="s">
        <v>204</v>
      </c>
      <c r="AC22" s="354" t="s">
        <v>467</v>
      </c>
      <c r="AD22" s="354"/>
      <c r="AE22" s="354"/>
      <c r="AF22" s="355"/>
      <c r="AG22" s="355"/>
      <c r="AH22" s="355"/>
      <c r="AI22" s="355" t="s">
        <v>591</v>
      </c>
      <c r="AJ22" s="356">
        <v>120</v>
      </c>
      <c r="AK22" s="356"/>
      <c r="AL22" s="356"/>
    </row>
    <row r="23" spans="1:38" ht="168" customHeight="1" thickBot="1">
      <c r="A23" s="239" t="s">
        <v>715</v>
      </c>
      <c r="B23" s="258" t="s">
        <v>426</v>
      </c>
      <c r="C23" s="247" t="s">
        <v>429</v>
      </c>
      <c r="D23" s="248" t="s">
        <v>428</v>
      </c>
      <c r="E23" s="249">
        <v>45352</v>
      </c>
      <c r="F23" s="294" t="s">
        <v>514</v>
      </c>
      <c r="G23" s="298">
        <v>0.98</v>
      </c>
      <c r="H23" s="269" t="s">
        <v>31</v>
      </c>
      <c r="I23" s="270" t="s">
        <v>570</v>
      </c>
      <c r="J23" s="272"/>
      <c r="K23" s="275">
        <v>0.56359999999999999</v>
      </c>
      <c r="L23" s="272"/>
      <c r="M23" s="269" t="s">
        <v>31</v>
      </c>
      <c r="N23" s="270" t="s">
        <v>647</v>
      </c>
      <c r="O23" s="273" t="s">
        <v>748</v>
      </c>
      <c r="P23" s="273" t="s">
        <v>782</v>
      </c>
      <c r="Q23" s="328"/>
      <c r="R23" s="269" t="s">
        <v>31</v>
      </c>
      <c r="S23" s="270" t="s">
        <v>830</v>
      </c>
      <c r="T23" s="348" t="s">
        <v>891</v>
      </c>
      <c r="U23" s="359"/>
      <c r="V23" s="361" t="s">
        <v>23</v>
      </c>
      <c r="W23" s="362"/>
      <c r="X23" s="363"/>
      <c r="Y23" s="354" t="s">
        <v>833</v>
      </c>
      <c r="Z23" s="354" t="s">
        <v>401</v>
      </c>
      <c r="AA23" s="354" t="s">
        <v>412</v>
      </c>
      <c r="AB23" s="354" t="s">
        <v>204</v>
      </c>
      <c r="AC23" s="354" t="s">
        <v>467</v>
      </c>
      <c r="AD23" s="354"/>
      <c r="AE23" s="354"/>
      <c r="AF23" s="355"/>
      <c r="AG23" s="355"/>
      <c r="AH23" s="355"/>
      <c r="AI23" s="355" t="s">
        <v>591</v>
      </c>
      <c r="AJ23" s="356">
        <v>121</v>
      </c>
      <c r="AK23" s="356"/>
      <c r="AL23" s="356"/>
    </row>
    <row r="24" spans="1:38" ht="168" customHeight="1" thickBot="1">
      <c r="A24" s="239" t="s">
        <v>715</v>
      </c>
      <c r="B24" s="258" t="s">
        <v>427</v>
      </c>
      <c r="C24" s="247" t="s">
        <v>430</v>
      </c>
      <c r="D24" s="248" t="s">
        <v>431</v>
      </c>
      <c r="E24" s="249">
        <v>45352</v>
      </c>
      <c r="F24" s="268" t="s">
        <v>515</v>
      </c>
      <c r="G24" s="298">
        <v>0.99</v>
      </c>
      <c r="H24" s="269" t="s">
        <v>31</v>
      </c>
      <c r="I24" s="270" t="s">
        <v>571</v>
      </c>
      <c r="J24" s="272"/>
      <c r="K24" s="275">
        <v>0.6119</v>
      </c>
      <c r="L24" s="272"/>
      <c r="M24" s="269" t="s">
        <v>31</v>
      </c>
      <c r="N24" s="270" t="s">
        <v>691</v>
      </c>
      <c r="O24" s="328" t="s">
        <v>783</v>
      </c>
      <c r="P24" s="273" t="s">
        <v>784</v>
      </c>
      <c r="Q24" s="328"/>
      <c r="R24" s="269" t="s">
        <v>31</v>
      </c>
      <c r="S24" s="270" t="s">
        <v>831</v>
      </c>
      <c r="T24" s="348" t="s">
        <v>890</v>
      </c>
      <c r="U24" s="359"/>
      <c r="V24" s="361" t="s">
        <v>23</v>
      </c>
      <c r="W24" s="362"/>
      <c r="X24" s="363"/>
      <c r="Y24" s="354" t="s">
        <v>833</v>
      </c>
      <c r="Z24" s="354" t="s">
        <v>401</v>
      </c>
      <c r="AA24" s="354" t="s">
        <v>412</v>
      </c>
      <c r="AB24" s="354" t="s">
        <v>204</v>
      </c>
      <c r="AC24" s="354" t="s">
        <v>467</v>
      </c>
      <c r="AD24" s="354"/>
      <c r="AE24" s="354"/>
      <c r="AF24" s="355"/>
      <c r="AG24" s="355"/>
      <c r="AH24" s="355"/>
      <c r="AI24" s="355" t="s">
        <v>591</v>
      </c>
      <c r="AJ24" s="356">
        <v>122</v>
      </c>
      <c r="AK24" s="356"/>
      <c r="AL24" s="356"/>
    </row>
    <row r="25" spans="1:38" ht="168" customHeight="1" thickBot="1">
      <c r="A25" s="239" t="s">
        <v>851</v>
      </c>
      <c r="B25" s="258" t="s">
        <v>242</v>
      </c>
      <c r="C25" s="247" t="s">
        <v>243</v>
      </c>
      <c r="D25" s="248" t="s">
        <v>244</v>
      </c>
      <c r="E25" s="249">
        <v>45200</v>
      </c>
      <c r="F25" s="268" t="s">
        <v>704</v>
      </c>
      <c r="G25" s="268"/>
      <c r="H25" s="269" t="s">
        <v>31</v>
      </c>
      <c r="I25" s="270"/>
      <c r="J25" s="271"/>
      <c r="K25" s="271"/>
      <c r="L25" s="272"/>
      <c r="M25" s="269" t="s">
        <v>31</v>
      </c>
      <c r="N25" s="270"/>
      <c r="O25" s="271" t="s">
        <v>728</v>
      </c>
      <c r="P25" s="273"/>
      <c r="Q25" s="328"/>
      <c r="R25" s="269" t="s">
        <v>22</v>
      </c>
      <c r="S25" s="270"/>
      <c r="T25" s="337" t="s">
        <v>916</v>
      </c>
      <c r="U25" s="359"/>
      <c r="V25" s="361" t="s">
        <v>22</v>
      </c>
      <c r="W25" s="362"/>
      <c r="X25" s="363"/>
      <c r="Y25" s="354" t="s">
        <v>389</v>
      </c>
      <c r="Z25" s="354" t="s">
        <v>390</v>
      </c>
      <c r="AA25" s="354" t="s">
        <v>404</v>
      </c>
      <c r="AB25" s="354" t="s">
        <v>414</v>
      </c>
      <c r="AC25" s="354" t="s">
        <v>201</v>
      </c>
      <c r="AD25" s="354"/>
      <c r="AE25" s="354"/>
      <c r="AF25" s="355"/>
      <c r="AG25" s="355"/>
      <c r="AH25" s="355" t="s">
        <v>591</v>
      </c>
      <c r="AI25" s="355"/>
      <c r="AJ25" s="356">
        <v>17</v>
      </c>
      <c r="AK25" s="356"/>
      <c r="AL25" s="356"/>
    </row>
    <row r="26" spans="1:38" ht="168" customHeight="1" thickBot="1">
      <c r="A26" s="239" t="s">
        <v>851</v>
      </c>
      <c r="B26" s="258" t="s">
        <v>377</v>
      </c>
      <c r="C26" s="247" t="s">
        <v>2</v>
      </c>
      <c r="D26" s="248" t="s">
        <v>466</v>
      </c>
      <c r="E26" s="257" t="s">
        <v>134</v>
      </c>
      <c r="F26" s="288" t="s">
        <v>585</v>
      </c>
      <c r="G26" s="268" t="s">
        <v>586</v>
      </c>
      <c r="H26" s="269" t="s">
        <v>31</v>
      </c>
      <c r="I26" s="270"/>
      <c r="J26" s="325" t="s">
        <v>663</v>
      </c>
      <c r="K26" s="271" t="s">
        <v>617</v>
      </c>
      <c r="L26" s="272" t="s">
        <v>586</v>
      </c>
      <c r="M26" s="269" t="s">
        <v>31</v>
      </c>
      <c r="N26" s="318"/>
      <c r="O26" s="273" t="s">
        <v>745</v>
      </c>
      <c r="P26" s="273" t="s">
        <v>746</v>
      </c>
      <c r="Q26" s="268" t="s">
        <v>586</v>
      </c>
      <c r="R26" s="269" t="s">
        <v>31</v>
      </c>
      <c r="S26" s="270"/>
      <c r="T26" s="375" t="s">
        <v>935</v>
      </c>
      <c r="U26" s="376" t="s">
        <v>934</v>
      </c>
      <c r="V26" s="361" t="s">
        <v>22</v>
      </c>
      <c r="W26" s="367"/>
      <c r="X26" s="363"/>
      <c r="Y26" s="354" t="s">
        <v>389</v>
      </c>
      <c r="Z26" s="354" t="s">
        <v>390</v>
      </c>
      <c r="AA26" s="354" t="s">
        <v>412</v>
      </c>
      <c r="AB26" s="354" t="s">
        <v>414</v>
      </c>
      <c r="AC26" s="354" t="s">
        <v>467</v>
      </c>
      <c r="AD26" s="354"/>
      <c r="AE26" s="354"/>
      <c r="AF26" s="355"/>
      <c r="AG26" s="355"/>
      <c r="AH26" s="355"/>
      <c r="AI26" s="355" t="s">
        <v>591</v>
      </c>
      <c r="AJ26" s="356">
        <v>128</v>
      </c>
      <c r="AK26" s="356"/>
      <c r="AL26" s="356"/>
    </row>
    <row r="27" spans="1:38" ht="168" customHeight="1" thickBot="1">
      <c r="A27" s="239" t="s">
        <v>851</v>
      </c>
      <c r="B27" s="258" t="s">
        <v>378</v>
      </c>
      <c r="C27" s="247" t="s">
        <v>97</v>
      </c>
      <c r="D27" s="248" t="s">
        <v>185</v>
      </c>
      <c r="E27" s="249">
        <v>45352</v>
      </c>
      <c r="F27" s="268"/>
      <c r="G27" s="268"/>
      <c r="H27" s="269" t="s">
        <v>35</v>
      </c>
      <c r="I27" s="270"/>
      <c r="J27" s="277"/>
      <c r="K27" s="276"/>
      <c r="L27" s="277"/>
      <c r="M27" s="269" t="s">
        <v>35</v>
      </c>
      <c r="N27" s="278"/>
      <c r="O27" s="273"/>
      <c r="P27" s="273"/>
      <c r="Q27" s="328"/>
      <c r="R27" s="269" t="s">
        <v>35</v>
      </c>
      <c r="S27" s="278"/>
      <c r="T27" s="336" t="s">
        <v>914</v>
      </c>
      <c r="U27" s="357" t="s">
        <v>913</v>
      </c>
      <c r="V27" s="361" t="s">
        <v>22</v>
      </c>
      <c r="W27" s="358" t="s">
        <v>931</v>
      </c>
      <c r="X27" s="353"/>
      <c r="Y27" s="354" t="s">
        <v>389</v>
      </c>
      <c r="Z27" s="354" t="s">
        <v>390</v>
      </c>
      <c r="AA27" s="354" t="s">
        <v>412</v>
      </c>
      <c r="AB27" s="354" t="s">
        <v>414</v>
      </c>
      <c r="AC27" s="354" t="s">
        <v>467</v>
      </c>
      <c r="AD27" s="354"/>
      <c r="AE27" s="354"/>
      <c r="AF27" s="355"/>
      <c r="AG27" s="355"/>
      <c r="AH27" s="355"/>
      <c r="AI27" s="355" t="s">
        <v>591</v>
      </c>
      <c r="AJ27" s="356">
        <v>129</v>
      </c>
      <c r="AK27" s="356"/>
      <c r="AL27" s="356"/>
    </row>
    <row r="28" spans="1:38" ht="168" customHeight="1" thickBot="1">
      <c r="A28" s="239" t="s">
        <v>102</v>
      </c>
      <c r="B28" s="258" t="s">
        <v>209</v>
      </c>
      <c r="C28" s="247" t="s">
        <v>207</v>
      </c>
      <c r="D28" s="252" t="s">
        <v>210</v>
      </c>
      <c r="E28" s="253">
        <v>45170</v>
      </c>
      <c r="F28" s="268"/>
      <c r="G28" s="268"/>
      <c r="H28" s="269" t="s">
        <v>35</v>
      </c>
      <c r="I28" s="270"/>
      <c r="J28" s="271" t="s">
        <v>710</v>
      </c>
      <c r="K28" s="271"/>
      <c r="L28" s="272"/>
      <c r="M28" s="269" t="s">
        <v>22</v>
      </c>
      <c r="N28" s="270"/>
      <c r="O28" s="273" t="s">
        <v>785</v>
      </c>
      <c r="P28" s="273"/>
      <c r="Q28" s="328"/>
      <c r="R28" s="269" t="s">
        <v>22</v>
      </c>
      <c r="S28" s="270"/>
      <c r="T28" s="346" t="s">
        <v>785</v>
      </c>
      <c r="U28" s="377"/>
      <c r="V28" s="361" t="s">
        <v>22</v>
      </c>
      <c r="W28" s="352"/>
      <c r="X28" s="363"/>
      <c r="Y28" s="354" t="s">
        <v>836</v>
      </c>
      <c r="Z28" s="354" t="s">
        <v>383</v>
      </c>
      <c r="AA28" s="354" t="s">
        <v>403</v>
      </c>
      <c r="AB28" s="354" t="s">
        <v>414</v>
      </c>
      <c r="AC28" s="354" t="s">
        <v>467</v>
      </c>
      <c r="AD28" s="354"/>
      <c r="AE28" s="354"/>
      <c r="AF28" s="355"/>
      <c r="AG28" s="355"/>
      <c r="AH28" s="355"/>
      <c r="AI28" s="355" t="s">
        <v>591</v>
      </c>
      <c r="AJ28" s="356">
        <v>2</v>
      </c>
      <c r="AK28" s="356"/>
      <c r="AL28" s="356"/>
    </row>
    <row r="29" spans="1:38" ht="168" customHeight="1" thickBot="1">
      <c r="A29" s="239" t="s">
        <v>102</v>
      </c>
      <c r="B29" s="258" t="s">
        <v>211</v>
      </c>
      <c r="C29" s="247" t="s">
        <v>207</v>
      </c>
      <c r="D29" s="252" t="s">
        <v>212</v>
      </c>
      <c r="E29" s="253">
        <v>45170</v>
      </c>
      <c r="F29" s="268" t="s">
        <v>544</v>
      </c>
      <c r="G29" s="268"/>
      <c r="H29" s="269" t="s">
        <v>31</v>
      </c>
      <c r="I29" s="270"/>
      <c r="J29" s="268" t="s">
        <v>618</v>
      </c>
      <c r="K29" s="271"/>
      <c r="L29" s="272"/>
      <c r="M29" s="269" t="s">
        <v>22</v>
      </c>
      <c r="N29" s="270" t="s">
        <v>654</v>
      </c>
      <c r="O29" s="328" t="s">
        <v>785</v>
      </c>
      <c r="P29" s="273"/>
      <c r="Q29" s="328"/>
      <c r="R29" s="269" t="s">
        <v>22</v>
      </c>
      <c r="S29" s="270"/>
      <c r="T29" s="346" t="s">
        <v>785</v>
      </c>
      <c r="U29" s="377"/>
      <c r="V29" s="361" t="s">
        <v>22</v>
      </c>
      <c r="W29" s="352"/>
      <c r="X29" s="353"/>
      <c r="Y29" s="354" t="s">
        <v>836</v>
      </c>
      <c r="Z29" s="354" t="s">
        <v>383</v>
      </c>
      <c r="AA29" s="354" t="s">
        <v>403</v>
      </c>
      <c r="AB29" s="354" t="s">
        <v>414</v>
      </c>
      <c r="AC29" s="354" t="s">
        <v>467</v>
      </c>
      <c r="AD29" s="354"/>
      <c r="AE29" s="354"/>
      <c r="AF29" s="355"/>
      <c r="AG29" s="355"/>
      <c r="AH29" s="355"/>
      <c r="AI29" s="355" t="s">
        <v>591</v>
      </c>
      <c r="AJ29" s="356">
        <v>3</v>
      </c>
      <c r="AK29" s="356"/>
      <c r="AL29" s="356"/>
    </row>
    <row r="30" spans="1:38" ht="168" customHeight="1" thickBot="1">
      <c r="A30" s="239" t="s">
        <v>102</v>
      </c>
      <c r="B30" s="258" t="s">
        <v>213</v>
      </c>
      <c r="C30" s="247" t="s">
        <v>207</v>
      </c>
      <c r="D30" s="254" t="s">
        <v>214</v>
      </c>
      <c r="E30" s="249">
        <v>45108</v>
      </c>
      <c r="F30" s="268" t="s">
        <v>575</v>
      </c>
      <c r="G30" s="268"/>
      <c r="H30" s="269" t="s">
        <v>31</v>
      </c>
      <c r="I30" s="270"/>
      <c r="J30" s="268" t="s">
        <v>655</v>
      </c>
      <c r="K30" s="276"/>
      <c r="L30" s="277"/>
      <c r="M30" s="269" t="s">
        <v>22</v>
      </c>
      <c r="N30" s="278"/>
      <c r="O30" s="273" t="s">
        <v>785</v>
      </c>
      <c r="P30" s="273"/>
      <c r="Q30" s="328"/>
      <c r="R30" s="269" t="s">
        <v>22</v>
      </c>
      <c r="S30" s="278"/>
      <c r="T30" s="346" t="s">
        <v>785</v>
      </c>
      <c r="U30" s="357"/>
      <c r="V30" s="361" t="s">
        <v>22</v>
      </c>
      <c r="W30" s="358"/>
      <c r="X30" s="363"/>
      <c r="Y30" s="354" t="s">
        <v>837</v>
      </c>
      <c r="Z30" s="354" t="s">
        <v>383</v>
      </c>
      <c r="AA30" s="354" t="s">
        <v>403</v>
      </c>
      <c r="AB30" s="354" t="s">
        <v>414</v>
      </c>
      <c r="AC30" s="354" t="s">
        <v>467</v>
      </c>
      <c r="AD30" s="354"/>
      <c r="AE30" s="354"/>
      <c r="AF30" s="355"/>
      <c r="AG30" s="355"/>
      <c r="AH30" s="355"/>
      <c r="AI30" s="355" t="s">
        <v>591</v>
      </c>
      <c r="AJ30" s="356">
        <v>4</v>
      </c>
      <c r="AK30" s="356"/>
      <c r="AL30" s="356"/>
    </row>
    <row r="31" spans="1:38" ht="168" customHeight="1" thickBot="1">
      <c r="A31" s="239" t="s">
        <v>102</v>
      </c>
      <c r="B31" s="258" t="s">
        <v>215</v>
      </c>
      <c r="C31" s="247" t="s">
        <v>207</v>
      </c>
      <c r="D31" s="252" t="s">
        <v>216</v>
      </c>
      <c r="E31" s="249">
        <v>45200</v>
      </c>
      <c r="F31" s="268" t="s">
        <v>474</v>
      </c>
      <c r="G31" s="268"/>
      <c r="H31" s="269" t="s">
        <v>35</v>
      </c>
      <c r="I31" s="270"/>
      <c r="J31" s="276" t="s">
        <v>619</v>
      </c>
      <c r="K31" s="276"/>
      <c r="L31" s="277"/>
      <c r="M31" s="269" t="s">
        <v>31</v>
      </c>
      <c r="N31" s="278"/>
      <c r="O31" s="276" t="s">
        <v>755</v>
      </c>
      <c r="P31" s="273"/>
      <c r="Q31" s="328"/>
      <c r="R31" s="269" t="s">
        <v>22</v>
      </c>
      <c r="S31" s="278"/>
      <c r="T31" s="346" t="s">
        <v>895</v>
      </c>
      <c r="U31" s="357"/>
      <c r="V31" s="361" t="s">
        <v>22</v>
      </c>
      <c r="W31" s="358"/>
      <c r="X31" s="363"/>
      <c r="Y31" s="354" t="s">
        <v>835</v>
      </c>
      <c r="Z31" s="354" t="s">
        <v>383</v>
      </c>
      <c r="AA31" s="354" t="s">
        <v>403</v>
      </c>
      <c r="AB31" s="354" t="s">
        <v>414</v>
      </c>
      <c r="AC31" s="354" t="s">
        <v>467</v>
      </c>
      <c r="AD31" s="354"/>
      <c r="AE31" s="354"/>
      <c r="AF31" s="355"/>
      <c r="AG31" s="355"/>
      <c r="AH31" s="355"/>
      <c r="AI31" s="355" t="s">
        <v>591</v>
      </c>
      <c r="AJ31" s="356">
        <v>5</v>
      </c>
      <c r="AK31" s="356"/>
      <c r="AL31" s="356"/>
    </row>
    <row r="32" spans="1:38" ht="168" customHeight="1" thickBot="1">
      <c r="A32" s="239" t="s">
        <v>102</v>
      </c>
      <c r="B32" s="258" t="s">
        <v>217</v>
      </c>
      <c r="C32" s="247" t="s">
        <v>207</v>
      </c>
      <c r="D32" s="252" t="s">
        <v>460</v>
      </c>
      <c r="E32" s="253">
        <v>45352</v>
      </c>
      <c r="F32" s="268" t="s">
        <v>475</v>
      </c>
      <c r="G32" s="268"/>
      <c r="H32" s="269" t="s">
        <v>35</v>
      </c>
      <c r="I32" s="270"/>
      <c r="J32" s="277" t="s">
        <v>700</v>
      </c>
      <c r="K32" s="271"/>
      <c r="L32" s="272"/>
      <c r="M32" s="269" t="s">
        <v>31</v>
      </c>
      <c r="N32" s="278"/>
      <c r="O32" s="277" t="s">
        <v>756</v>
      </c>
      <c r="P32" s="273"/>
      <c r="Q32" s="328"/>
      <c r="R32" s="269" t="s">
        <v>31</v>
      </c>
      <c r="S32" s="278"/>
      <c r="T32" s="357" t="s">
        <v>897</v>
      </c>
      <c r="U32" s="357"/>
      <c r="V32" s="361" t="s">
        <v>22</v>
      </c>
      <c r="W32" s="358" t="s">
        <v>903</v>
      </c>
      <c r="X32" s="363"/>
      <c r="Y32" s="354" t="s">
        <v>836</v>
      </c>
      <c r="Z32" s="354" t="s">
        <v>383</v>
      </c>
      <c r="AA32" s="354" t="s">
        <v>403</v>
      </c>
      <c r="AB32" s="354" t="s">
        <v>414</v>
      </c>
      <c r="AC32" s="354" t="s">
        <v>467</v>
      </c>
      <c r="AD32" s="354"/>
      <c r="AE32" s="354"/>
      <c r="AF32" s="355"/>
      <c r="AG32" s="355"/>
      <c r="AH32" s="355"/>
      <c r="AI32" s="355" t="s">
        <v>591</v>
      </c>
      <c r="AJ32" s="356">
        <v>6</v>
      </c>
      <c r="AK32" s="356"/>
      <c r="AL32" s="356"/>
    </row>
    <row r="33" spans="1:38" ht="168" customHeight="1" thickBot="1">
      <c r="A33" s="239" t="s">
        <v>102</v>
      </c>
      <c r="B33" s="258" t="s">
        <v>457</v>
      </c>
      <c r="C33" s="247" t="s">
        <v>233</v>
      </c>
      <c r="D33" s="248" t="s">
        <v>458</v>
      </c>
      <c r="E33" s="249">
        <v>45200</v>
      </c>
      <c r="F33" s="268"/>
      <c r="G33" s="268"/>
      <c r="H33" s="269" t="s">
        <v>35</v>
      </c>
      <c r="I33" s="270"/>
      <c r="J33" s="272" t="s">
        <v>656</v>
      </c>
      <c r="K33" s="271"/>
      <c r="L33" s="272"/>
      <c r="M33" s="269" t="s">
        <v>31</v>
      </c>
      <c r="N33" s="270"/>
      <c r="O33" s="328" t="s">
        <v>656</v>
      </c>
      <c r="P33" s="330"/>
      <c r="Q33" s="328"/>
      <c r="R33" s="269" t="s">
        <v>22</v>
      </c>
      <c r="S33" s="270"/>
      <c r="T33" s="346" t="s">
        <v>895</v>
      </c>
      <c r="U33" s="357"/>
      <c r="V33" s="361" t="s">
        <v>22</v>
      </c>
      <c r="W33" s="358"/>
      <c r="X33" s="353"/>
      <c r="Y33" s="354" t="s">
        <v>833</v>
      </c>
      <c r="Z33" s="354" t="s">
        <v>470</v>
      </c>
      <c r="AA33" s="354" t="s">
        <v>404</v>
      </c>
      <c r="AB33" s="354" t="s">
        <v>109</v>
      </c>
      <c r="AC33" s="354" t="s">
        <v>201</v>
      </c>
      <c r="AD33" s="354"/>
      <c r="AE33" s="354"/>
      <c r="AF33" s="355"/>
      <c r="AG33" s="355"/>
      <c r="AH33" s="355" t="s">
        <v>591</v>
      </c>
      <c r="AI33" s="355"/>
      <c r="AJ33" s="356">
        <v>13</v>
      </c>
      <c r="AK33" s="356"/>
      <c r="AL33" s="356"/>
    </row>
    <row r="34" spans="1:38" ht="168" customHeight="1" thickBot="1">
      <c r="A34" s="239" t="s">
        <v>102</v>
      </c>
      <c r="B34" s="258" t="s">
        <v>277</v>
      </c>
      <c r="C34" s="247" t="s">
        <v>269</v>
      </c>
      <c r="D34" s="248" t="s">
        <v>278</v>
      </c>
      <c r="E34" s="249" t="s">
        <v>279</v>
      </c>
      <c r="F34" s="268" t="s">
        <v>476</v>
      </c>
      <c r="G34" s="268"/>
      <c r="H34" s="269" t="s">
        <v>22</v>
      </c>
      <c r="I34" s="270"/>
      <c r="J34" s="272" t="s">
        <v>620</v>
      </c>
      <c r="K34" s="271"/>
      <c r="L34" s="272"/>
      <c r="M34" s="269" t="s">
        <v>22</v>
      </c>
      <c r="N34" s="270"/>
      <c r="O34" s="272" t="s">
        <v>786</v>
      </c>
      <c r="P34" s="273"/>
      <c r="Q34" s="328"/>
      <c r="R34" s="269" t="s">
        <v>22</v>
      </c>
      <c r="S34" s="270"/>
      <c r="T34" s="346" t="s">
        <v>786</v>
      </c>
      <c r="U34" s="377"/>
      <c r="V34" s="361" t="s">
        <v>22</v>
      </c>
      <c r="W34" s="352"/>
      <c r="X34" s="353"/>
      <c r="Y34" s="354" t="s">
        <v>837</v>
      </c>
      <c r="Z34" s="354"/>
      <c r="AA34" s="354" t="s">
        <v>406</v>
      </c>
      <c r="AB34" s="354" t="s">
        <v>414</v>
      </c>
      <c r="AC34" s="354" t="s">
        <v>201</v>
      </c>
      <c r="AD34" s="354"/>
      <c r="AE34" s="354"/>
      <c r="AF34" s="355"/>
      <c r="AG34" s="355" t="s">
        <v>591</v>
      </c>
      <c r="AH34" s="355"/>
      <c r="AI34" s="355"/>
      <c r="AJ34" s="356">
        <v>33</v>
      </c>
      <c r="AK34" s="356"/>
      <c r="AL34" s="356"/>
    </row>
    <row r="35" spans="1:38" ht="168" customHeight="1" thickBot="1">
      <c r="A35" s="239" t="s">
        <v>102</v>
      </c>
      <c r="B35" s="258" t="s">
        <v>290</v>
      </c>
      <c r="C35" s="247" t="s">
        <v>291</v>
      </c>
      <c r="D35" s="248" t="s">
        <v>292</v>
      </c>
      <c r="E35" s="249">
        <v>45047</v>
      </c>
      <c r="F35" s="268" t="s">
        <v>477</v>
      </c>
      <c r="G35" s="268"/>
      <c r="H35" s="269" t="s">
        <v>22</v>
      </c>
      <c r="I35" s="270"/>
      <c r="J35" s="271" t="s">
        <v>620</v>
      </c>
      <c r="K35" s="271"/>
      <c r="L35" s="272"/>
      <c r="M35" s="269" t="s">
        <v>22</v>
      </c>
      <c r="N35" s="270"/>
      <c r="O35" s="271" t="s">
        <v>786</v>
      </c>
      <c r="P35" s="273"/>
      <c r="Q35" s="328"/>
      <c r="R35" s="269" t="s">
        <v>22</v>
      </c>
      <c r="S35" s="270"/>
      <c r="T35" s="346" t="s">
        <v>786</v>
      </c>
      <c r="U35" s="377"/>
      <c r="V35" s="361" t="s">
        <v>22</v>
      </c>
      <c r="W35" s="352"/>
      <c r="X35" s="353"/>
      <c r="Y35" s="354" t="s">
        <v>389</v>
      </c>
      <c r="Z35" s="354" t="s">
        <v>383</v>
      </c>
      <c r="AA35" s="354" t="s">
        <v>407</v>
      </c>
      <c r="AB35" s="354" t="s">
        <v>414</v>
      </c>
      <c r="AC35" s="354" t="s">
        <v>572</v>
      </c>
      <c r="AD35" s="354"/>
      <c r="AE35" s="354"/>
      <c r="AF35" s="355"/>
      <c r="AG35" s="355" t="s">
        <v>591</v>
      </c>
      <c r="AH35" s="355"/>
      <c r="AI35" s="355"/>
      <c r="AJ35" s="356">
        <v>38</v>
      </c>
      <c r="AK35" s="356"/>
      <c r="AL35" s="356"/>
    </row>
    <row r="36" spans="1:38" ht="168" customHeight="1" thickBot="1">
      <c r="A36" s="239" t="s">
        <v>102</v>
      </c>
      <c r="B36" s="258" t="s">
        <v>461</v>
      </c>
      <c r="C36" s="247" t="s">
        <v>167</v>
      </c>
      <c r="D36" s="248" t="s">
        <v>463</v>
      </c>
      <c r="E36" s="249">
        <v>45261</v>
      </c>
      <c r="F36" s="268" t="s">
        <v>543</v>
      </c>
      <c r="G36" s="268"/>
      <c r="H36" s="269" t="s">
        <v>31</v>
      </c>
      <c r="I36" s="270"/>
      <c r="J36" s="277" t="s">
        <v>701</v>
      </c>
      <c r="K36" s="284"/>
      <c r="L36" s="272"/>
      <c r="M36" s="269" t="s">
        <v>22</v>
      </c>
      <c r="N36" s="278"/>
      <c r="O36" s="271" t="s">
        <v>785</v>
      </c>
      <c r="P36" s="273"/>
      <c r="Q36" s="328"/>
      <c r="R36" s="269" t="s">
        <v>22</v>
      </c>
      <c r="S36" s="278"/>
      <c r="T36" s="346" t="s">
        <v>785</v>
      </c>
      <c r="U36" s="378"/>
      <c r="V36" s="361" t="s">
        <v>22</v>
      </c>
      <c r="W36" s="358"/>
      <c r="X36" s="363"/>
      <c r="Y36" s="354" t="s">
        <v>201</v>
      </c>
      <c r="Z36" s="354" t="s">
        <v>400</v>
      </c>
      <c r="AA36" s="354" t="s">
        <v>412</v>
      </c>
      <c r="AB36" s="354" t="s">
        <v>109</v>
      </c>
      <c r="AC36" s="354" t="s">
        <v>467</v>
      </c>
      <c r="AD36" s="354"/>
      <c r="AE36" s="354"/>
      <c r="AF36" s="355"/>
      <c r="AG36" s="355"/>
      <c r="AH36" s="355"/>
      <c r="AI36" s="355" t="s">
        <v>591</v>
      </c>
      <c r="AJ36" s="356">
        <v>85</v>
      </c>
      <c r="AK36" s="356"/>
      <c r="AL36" s="356"/>
    </row>
    <row r="37" spans="1:38" ht="168" customHeight="1" thickBot="1">
      <c r="A37" s="239" t="s">
        <v>102</v>
      </c>
      <c r="B37" s="258" t="s">
        <v>338</v>
      </c>
      <c r="C37" s="256" t="s">
        <v>135</v>
      </c>
      <c r="D37" s="254" t="s">
        <v>339</v>
      </c>
      <c r="E37" s="253">
        <v>45352</v>
      </c>
      <c r="F37" s="272" t="s">
        <v>478</v>
      </c>
      <c r="G37" s="268"/>
      <c r="H37" s="269" t="s">
        <v>35</v>
      </c>
      <c r="I37" s="270"/>
      <c r="J37" s="276" t="s">
        <v>657</v>
      </c>
      <c r="K37" s="276"/>
      <c r="L37" s="277"/>
      <c r="M37" s="269" t="s">
        <v>31</v>
      </c>
      <c r="N37" s="278" t="s">
        <v>692</v>
      </c>
      <c r="O37" s="276" t="s">
        <v>787</v>
      </c>
      <c r="P37" s="330"/>
      <c r="Q37" s="328"/>
      <c r="R37" s="269" t="s">
        <v>31</v>
      </c>
      <c r="S37" s="278" t="s">
        <v>692</v>
      </c>
      <c r="T37" s="336" t="s">
        <v>904</v>
      </c>
      <c r="U37" s="357"/>
      <c r="V37" s="361" t="s">
        <v>22</v>
      </c>
      <c r="W37" s="358"/>
      <c r="X37" s="353"/>
      <c r="Y37" s="354" t="s">
        <v>835</v>
      </c>
      <c r="Z37" s="354" t="s">
        <v>383</v>
      </c>
      <c r="AA37" s="354" t="s">
        <v>412</v>
      </c>
      <c r="AB37" s="379" t="s">
        <v>109</v>
      </c>
      <c r="AC37" s="354" t="s">
        <v>572</v>
      </c>
      <c r="AD37" s="354" t="s">
        <v>201</v>
      </c>
      <c r="AE37" s="354" t="s">
        <v>467</v>
      </c>
      <c r="AF37" s="355"/>
      <c r="AG37" s="355" t="s">
        <v>591</v>
      </c>
      <c r="AH37" s="355" t="s">
        <v>591</v>
      </c>
      <c r="AI37" s="355" t="s">
        <v>591</v>
      </c>
      <c r="AJ37" s="356">
        <v>87</v>
      </c>
      <c r="AK37" s="356"/>
      <c r="AL37" s="356"/>
    </row>
    <row r="38" spans="1:38" ht="168" customHeight="1" thickBot="1">
      <c r="A38" s="239" t="s">
        <v>102</v>
      </c>
      <c r="B38" s="258" t="s">
        <v>340</v>
      </c>
      <c r="C38" s="247" t="s">
        <v>136</v>
      </c>
      <c r="D38" s="248" t="s">
        <v>137</v>
      </c>
      <c r="E38" s="249">
        <v>45352</v>
      </c>
      <c r="F38" s="268" t="s">
        <v>479</v>
      </c>
      <c r="G38" s="268"/>
      <c r="H38" s="269" t="s">
        <v>31</v>
      </c>
      <c r="I38" s="270"/>
      <c r="J38" s="279" t="s">
        <v>479</v>
      </c>
      <c r="K38" s="271"/>
      <c r="L38" s="272"/>
      <c r="M38" s="269" t="s">
        <v>31</v>
      </c>
      <c r="N38" s="270"/>
      <c r="O38" s="268" t="s">
        <v>759</v>
      </c>
      <c r="P38" s="330"/>
      <c r="Q38" s="328"/>
      <c r="R38" s="269" t="s">
        <v>31</v>
      </c>
      <c r="S38" s="270"/>
      <c r="T38" s="337" t="s">
        <v>905</v>
      </c>
      <c r="U38" s="377"/>
      <c r="V38" s="361" t="s">
        <v>22</v>
      </c>
      <c r="W38" s="352"/>
      <c r="X38" s="363"/>
      <c r="Y38" s="354" t="s">
        <v>835</v>
      </c>
      <c r="Z38" s="354" t="s">
        <v>383</v>
      </c>
      <c r="AA38" s="354" t="s">
        <v>412</v>
      </c>
      <c r="AB38" s="354" t="s">
        <v>109</v>
      </c>
      <c r="AC38" s="354" t="s">
        <v>201</v>
      </c>
      <c r="AD38" s="354" t="s">
        <v>572</v>
      </c>
      <c r="AE38" s="354"/>
      <c r="AF38" s="355"/>
      <c r="AG38" s="355" t="s">
        <v>591</v>
      </c>
      <c r="AH38" s="355" t="s">
        <v>591</v>
      </c>
      <c r="AI38" s="355"/>
      <c r="AJ38" s="356">
        <v>88</v>
      </c>
      <c r="AK38" s="356"/>
      <c r="AL38" s="356"/>
    </row>
    <row r="39" spans="1:38" ht="168" customHeight="1" thickBot="1">
      <c r="A39" s="239" t="s">
        <v>102</v>
      </c>
      <c r="B39" s="258" t="s">
        <v>341</v>
      </c>
      <c r="C39" s="247" t="s">
        <v>180</v>
      </c>
      <c r="D39" s="248" t="s">
        <v>81</v>
      </c>
      <c r="E39" s="249">
        <v>45352</v>
      </c>
      <c r="F39" s="285" t="s">
        <v>480</v>
      </c>
      <c r="G39" s="268"/>
      <c r="H39" s="269" t="s">
        <v>31</v>
      </c>
      <c r="I39" s="270"/>
      <c r="J39" s="321" t="s">
        <v>621</v>
      </c>
      <c r="K39" s="271"/>
      <c r="L39" s="272"/>
      <c r="M39" s="269" t="s">
        <v>31</v>
      </c>
      <c r="N39" s="270"/>
      <c r="O39" s="273" t="s">
        <v>758</v>
      </c>
      <c r="P39" s="273"/>
      <c r="Q39" s="328"/>
      <c r="R39" s="269" t="s">
        <v>31</v>
      </c>
      <c r="S39" s="270"/>
      <c r="T39" s="346" t="s">
        <v>906</v>
      </c>
      <c r="U39" s="380"/>
      <c r="V39" s="361" t="s">
        <v>22</v>
      </c>
      <c r="W39" s="352"/>
      <c r="X39" s="353"/>
      <c r="Y39" s="354" t="s">
        <v>835</v>
      </c>
      <c r="Z39" s="354" t="s">
        <v>383</v>
      </c>
      <c r="AA39" s="354" t="s">
        <v>412</v>
      </c>
      <c r="AB39" s="354" t="s">
        <v>109</v>
      </c>
      <c r="AC39" s="354" t="s">
        <v>467</v>
      </c>
      <c r="AD39" s="354" t="s">
        <v>572</v>
      </c>
      <c r="AE39" s="354"/>
      <c r="AF39" s="355"/>
      <c r="AG39" s="355" t="s">
        <v>591</v>
      </c>
      <c r="AH39" s="355"/>
      <c r="AI39" s="355" t="s">
        <v>591</v>
      </c>
      <c r="AJ39" s="356">
        <v>89</v>
      </c>
      <c r="AK39" s="356"/>
      <c r="AL39" s="356"/>
    </row>
    <row r="40" spans="1:38" ht="168" customHeight="1" thickBot="1">
      <c r="A40" s="239" t="s">
        <v>102</v>
      </c>
      <c r="B40" s="258" t="s">
        <v>342</v>
      </c>
      <c r="C40" s="247" t="s">
        <v>136</v>
      </c>
      <c r="D40" s="248" t="s">
        <v>163</v>
      </c>
      <c r="E40" s="249">
        <v>45139</v>
      </c>
      <c r="F40" s="268" t="s">
        <v>576</v>
      </c>
      <c r="G40" s="268"/>
      <c r="H40" s="269" t="s">
        <v>31</v>
      </c>
      <c r="I40" s="270"/>
      <c r="J40" s="271" t="s">
        <v>622</v>
      </c>
      <c r="K40" s="271"/>
      <c r="L40" s="272"/>
      <c r="M40" s="269" t="s">
        <v>22</v>
      </c>
      <c r="N40" s="270"/>
      <c r="O40" s="271" t="s">
        <v>738</v>
      </c>
      <c r="P40" s="273"/>
      <c r="Q40" s="328"/>
      <c r="R40" s="269" t="s">
        <v>22</v>
      </c>
      <c r="S40" s="270"/>
      <c r="T40" s="337" t="s">
        <v>738</v>
      </c>
      <c r="U40" s="377"/>
      <c r="V40" s="361" t="s">
        <v>22</v>
      </c>
      <c r="W40" s="352"/>
      <c r="X40" s="353"/>
      <c r="Y40" s="354" t="s">
        <v>835</v>
      </c>
      <c r="Z40" s="354" t="s">
        <v>383</v>
      </c>
      <c r="AA40" s="354" t="s">
        <v>412</v>
      </c>
      <c r="AB40" s="354" t="s">
        <v>109</v>
      </c>
      <c r="AC40" s="354" t="s">
        <v>572</v>
      </c>
      <c r="AD40" s="354"/>
      <c r="AE40" s="354"/>
      <c r="AF40" s="355"/>
      <c r="AG40" s="355" t="s">
        <v>591</v>
      </c>
      <c r="AH40" s="355"/>
      <c r="AI40" s="355"/>
      <c r="AJ40" s="356">
        <v>90</v>
      </c>
      <c r="AK40" s="356"/>
      <c r="AL40" s="356"/>
    </row>
    <row r="41" spans="1:38" ht="168" customHeight="1" thickBot="1">
      <c r="A41" s="239" t="s">
        <v>102</v>
      </c>
      <c r="B41" s="258" t="s">
        <v>343</v>
      </c>
      <c r="C41" s="247" t="s">
        <v>87</v>
      </c>
      <c r="D41" s="248" t="s">
        <v>138</v>
      </c>
      <c r="E41" s="249">
        <v>45352</v>
      </c>
      <c r="F41" s="268" t="s">
        <v>481</v>
      </c>
      <c r="G41" s="268"/>
      <c r="H41" s="269" t="s">
        <v>31</v>
      </c>
      <c r="I41" s="270"/>
      <c r="J41" s="279" t="s">
        <v>481</v>
      </c>
      <c r="K41" s="271"/>
      <c r="L41" s="272"/>
      <c r="M41" s="269" t="s">
        <v>31</v>
      </c>
      <c r="N41" s="270"/>
      <c r="O41" s="271" t="s">
        <v>757</v>
      </c>
      <c r="P41" s="273"/>
      <c r="Q41" s="328"/>
      <c r="R41" s="269" t="s">
        <v>31</v>
      </c>
      <c r="S41" s="270"/>
      <c r="T41" s="337" t="s">
        <v>907</v>
      </c>
      <c r="U41" s="377"/>
      <c r="V41" s="361" t="s">
        <v>22</v>
      </c>
      <c r="W41" s="352"/>
      <c r="X41" s="363"/>
      <c r="Y41" s="354" t="s">
        <v>835</v>
      </c>
      <c r="Z41" s="354" t="s">
        <v>383</v>
      </c>
      <c r="AA41" s="354" t="s">
        <v>412</v>
      </c>
      <c r="AB41" s="354" t="s">
        <v>109</v>
      </c>
      <c r="AC41" s="354" t="s">
        <v>572</v>
      </c>
      <c r="AD41" s="354"/>
      <c r="AE41" s="354"/>
      <c r="AF41" s="355"/>
      <c r="AG41" s="355" t="s">
        <v>591</v>
      </c>
      <c r="AH41" s="355"/>
      <c r="AI41" s="355"/>
      <c r="AJ41" s="356">
        <v>91</v>
      </c>
      <c r="AK41" s="356"/>
      <c r="AL41" s="356"/>
    </row>
    <row r="42" spans="1:38" ht="168" customHeight="1" thickBot="1">
      <c r="A42" s="239" t="s">
        <v>102</v>
      </c>
      <c r="B42" s="258" t="s">
        <v>344</v>
      </c>
      <c r="C42" s="247" t="s">
        <v>136</v>
      </c>
      <c r="D42" s="248" t="s">
        <v>181</v>
      </c>
      <c r="E42" s="249">
        <v>45170</v>
      </c>
      <c r="F42" s="268" t="s">
        <v>482</v>
      </c>
      <c r="G42" s="268"/>
      <c r="H42" s="269" t="s">
        <v>31</v>
      </c>
      <c r="I42" s="270"/>
      <c r="J42" s="271" t="s">
        <v>693</v>
      </c>
      <c r="K42" s="271"/>
      <c r="L42" s="272"/>
      <c r="M42" s="269" t="s">
        <v>22</v>
      </c>
      <c r="N42" s="270"/>
      <c r="O42" s="271" t="s">
        <v>738</v>
      </c>
      <c r="P42" s="273"/>
      <c r="Q42" s="328"/>
      <c r="R42" s="269" t="s">
        <v>22</v>
      </c>
      <c r="S42" s="270"/>
      <c r="T42" s="337" t="s">
        <v>738</v>
      </c>
      <c r="U42" s="377"/>
      <c r="V42" s="361" t="s">
        <v>22</v>
      </c>
      <c r="W42" s="352"/>
      <c r="X42" s="353"/>
      <c r="Y42" s="354" t="s">
        <v>835</v>
      </c>
      <c r="Z42" s="354" t="s">
        <v>383</v>
      </c>
      <c r="AA42" s="354" t="s">
        <v>412</v>
      </c>
      <c r="AB42" s="354" t="s">
        <v>109</v>
      </c>
      <c r="AC42" s="354" t="s">
        <v>467</v>
      </c>
      <c r="AD42" s="354"/>
      <c r="AE42" s="354"/>
      <c r="AF42" s="355"/>
      <c r="AG42" s="355"/>
      <c r="AH42" s="355"/>
      <c r="AI42" s="355" t="s">
        <v>591</v>
      </c>
      <c r="AJ42" s="356">
        <v>92</v>
      </c>
      <c r="AK42" s="356"/>
      <c r="AL42" s="356"/>
    </row>
    <row r="43" spans="1:38" ht="168" customHeight="1" thickBot="1">
      <c r="A43" s="239" t="s">
        <v>102</v>
      </c>
      <c r="B43" s="258" t="s">
        <v>374</v>
      </c>
      <c r="C43" s="247" t="s">
        <v>165</v>
      </c>
      <c r="D43" s="248" t="s">
        <v>166</v>
      </c>
      <c r="E43" s="249">
        <v>45352</v>
      </c>
      <c r="F43" s="286" t="s">
        <v>487</v>
      </c>
      <c r="G43" s="268"/>
      <c r="H43" s="269" t="s">
        <v>31</v>
      </c>
      <c r="I43" s="270"/>
      <c r="J43" s="271" t="s">
        <v>659</v>
      </c>
      <c r="K43" s="271"/>
      <c r="L43" s="272"/>
      <c r="M43" s="269" t="s">
        <v>31</v>
      </c>
      <c r="N43" s="270"/>
      <c r="O43" s="273" t="s">
        <v>788</v>
      </c>
      <c r="P43" s="273"/>
      <c r="Q43" s="328"/>
      <c r="R43" s="269" t="s">
        <v>31</v>
      </c>
      <c r="S43" s="270"/>
      <c r="T43" s="337" t="s">
        <v>926</v>
      </c>
      <c r="U43" s="380"/>
      <c r="V43" s="361" t="s">
        <v>22</v>
      </c>
      <c r="W43" s="352" t="s">
        <v>927</v>
      </c>
      <c r="X43" s="363"/>
      <c r="Y43" s="354" t="s">
        <v>835</v>
      </c>
      <c r="Z43" s="354" t="s">
        <v>383</v>
      </c>
      <c r="AA43" s="354" t="s">
        <v>412</v>
      </c>
      <c r="AB43" s="354" t="s">
        <v>414</v>
      </c>
      <c r="AC43" s="355" t="s">
        <v>467</v>
      </c>
      <c r="AD43" s="354"/>
      <c r="AE43" s="354"/>
      <c r="AF43" s="355"/>
      <c r="AG43" s="355"/>
      <c r="AH43" s="355"/>
      <c r="AI43" s="355" t="s">
        <v>591</v>
      </c>
      <c r="AJ43" s="356">
        <v>126</v>
      </c>
      <c r="AK43" s="356"/>
      <c r="AL43" s="356"/>
    </row>
    <row r="44" spans="1:38" ht="168" customHeight="1" thickBot="1">
      <c r="A44" s="239" t="s">
        <v>102</v>
      </c>
      <c r="B44" s="258" t="s">
        <v>375</v>
      </c>
      <c r="C44" s="247" t="s">
        <v>188</v>
      </c>
      <c r="D44" s="248" t="s">
        <v>376</v>
      </c>
      <c r="E44" s="249">
        <v>45231</v>
      </c>
      <c r="F44" s="268" t="s">
        <v>484</v>
      </c>
      <c r="G44" s="268"/>
      <c r="H44" s="269" t="s">
        <v>31</v>
      </c>
      <c r="I44" s="270"/>
      <c r="J44" s="271" t="s">
        <v>658</v>
      </c>
      <c r="K44" s="300"/>
      <c r="L44" s="272"/>
      <c r="M44" s="269" t="s">
        <v>31</v>
      </c>
      <c r="N44" s="270"/>
      <c r="O44" s="273" t="s">
        <v>789</v>
      </c>
      <c r="P44" s="273"/>
      <c r="Q44" s="328"/>
      <c r="R44" s="269" t="s">
        <v>22</v>
      </c>
      <c r="S44" s="270"/>
      <c r="T44" s="337" t="s">
        <v>896</v>
      </c>
      <c r="U44" s="380"/>
      <c r="V44" s="361" t="s">
        <v>22</v>
      </c>
      <c r="W44" s="352"/>
      <c r="X44" s="353"/>
      <c r="Y44" s="354" t="s">
        <v>835</v>
      </c>
      <c r="Z44" s="354" t="s">
        <v>383</v>
      </c>
      <c r="AA44" s="354" t="s">
        <v>412</v>
      </c>
      <c r="AB44" s="354" t="s">
        <v>414</v>
      </c>
      <c r="AC44" s="354" t="s">
        <v>467</v>
      </c>
      <c r="AD44" s="354"/>
      <c r="AE44" s="354"/>
      <c r="AF44" s="355"/>
      <c r="AG44" s="355"/>
      <c r="AH44" s="355"/>
      <c r="AI44" s="355" t="s">
        <v>591</v>
      </c>
      <c r="AJ44" s="356">
        <v>127</v>
      </c>
      <c r="AK44" s="356"/>
      <c r="AL44" s="356"/>
    </row>
    <row r="45" spans="1:38" ht="168" customHeight="1" thickBot="1">
      <c r="A45" s="239" t="s">
        <v>102</v>
      </c>
      <c r="B45" s="258" t="s">
        <v>379</v>
      </c>
      <c r="C45" s="247" t="s">
        <v>189</v>
      </c>
      <c r="D45" s="248" t="s">
        <v>190</v>
      </c>
      <c r="E45" s="249">
        <v>45017</v>
      </c>
      <c r="F45" s="268" t="s">
        <v>483</v>
      </c>
      <c r="G45" s="268"/>
      <c r="H45" s="269" t="s">
        <v>22</v>
      </c>
      <c r="I45" s="270"/>
      <c r="J45" s="271" t="s">
        <v>620</v>
      </c>
      <c r="K45" s="277"/>
      <c r="L45" s="277"/>
      <c r="M45" s="269" t="s">
        <v>22</v>
      </c>
      <c r="N45" s="278"/>
      <c r="O45" s="271" t="s">
        <v>620</v>
      </c>
      <c r="P45" s="273"/>
      <c r="Q45" s="328"/>
      <c r="R45" s="269" t="s">
        <v>22</v>
      </c>
      <c r="S45" s="278"/>
      <c r="T45" s="337" t="s">
        <v>620</v>
      </c>
      <c r="U45" s="357"/>
      <c r="V45" s="361" t="s">
        <v>22</v>
      </c>
      <c r="W45" s="358"/>
      <c r="X45" s="353"/>
      <c r="Y45" s="354" t="s">
        <v>835</v>
      </c>
      <c r="Z45" s="354" t="s">
        <v>383</v>
      </c>
      <c r="AA45" s="354" t="s">
        <v>412</v>
      </c>
      <c r="AB45" s="354" t="s">
        <v>414</v>
      </c>
      <c r="AC45" s="354" t="s">
        <v>467</v>
      </c>
      <c r="AD45" s="354"/>
      <c r="AE45" s="354"/>
      <c r="AF45" s="355"/>
      <c r="AG45" s="355"/>
      <c r="AH45" s="355"/>
      <c r="AI45" s="355" t="s">
        <v>591</v>
      </c>
      <c r="AJ45" s="356">
        <v>130</v>
      </c>
      <c r="AK45" s="356"/>
      <c r="AL45" s="356"/>
    </row>
    <row r="46" spans="1:38" ht="168" customHeight="1" thickBot="1">
      <c r="A46" s="239" t="s">
        <v>102</v>
      </c>
      <c r="B46" s="258" t="s">
        <v>380</v>
      </c>
      <c r="C46" s="247" t="s">
        <v>191</v>
      </c>
      <c r="D46" s="248" t="s">
        <v>192</v>
      </c>
      <c r="E46" s="249">
        <v>45047</v>
      </c>
      <c r="F46" s="268" t="s">
        <v>550</v>
      </c>
      <c r="G46" s="268"/>
      <c r="H46" s="269" t="s">
        <v>22</v>
      </c>
      <c r="I46" s="270"/>
      <c r="J46" s="271" t="s">
        <v>620</v>
      </c>
      <c r="K46" s="277"/>
      <c r="L46" s="277"/>
      <c r="M46" s="269" t="s">
        <v>22</v>
      </c>
      <c r="N46" s="278"/>
      <c r="O46" s="271" t="s">
        <v>620</v>
      </c>
      <c r="P46" s="273"/>
      <c r="Q46" s="328"/>
      <c r="R46" s="269" t="s">
        <v>22</v>
      </c>
      <c r="S46" s="278"/>
      <c r="T46" s="337" t="s">
        <v>620</v>
      </c>
      <c r="U46" s="357"/>
      <c r="V46" s="361" t="s">
        <v>22</v>
      </c>
      <c r="W46" s="358"/>
      <c r="X46" s="363"/>
      <c r="Y46" s="354" t="s">
        <v>835</v>
      </c>
      <c r="Z46" s="354" t="s">
        <v>383</v>
      </c>
      <c r="AA46" s="354" t="s">
        <v>412</v>
      </c>
      <c r="AB46" s="354" t="s">
        <v>414</v>
      </c>
      <c r="AC46" s="354" t="s">
        <v>467</v>
      </c>
      <c r="AD46" s="354"/>
      <c r="AE46" s="354"/>
      <c r="AF46" s="355"/>
      <c r="AG46" s="355"/>
      <c r="AH46" s="355"/>
      <c r="AI46" s="355" t="s">
        <v>591</v>
      </c>
      <c r="AJ46" s="356">
        <v>131</v>
      </c>
      <c r="AK46" s="356"/>
      <c r="AL46" s="356"/>
    </row>
    <row r="47" spans="1:38" ht="168" customHeight="1" thickBot="1">
      <c r="A47" s="239" t="s">
        <v>102</v>
      </c>
      <c r="B47" s="258" t="s">
        <v>381</v>
      </c>
      <c r="C47" s="247" t="s">
        <v>98</v>
      </c>
      <c r="D47" s="248" t="s">
        <v>193</v>
      </c>
      <c r="E47" s="249" t="s">
        <v>194</v>
      </c>
      <c r="F47" s="268"/>
      <c r="G47" s="268"/>
      <c r="H47" s="269" t="s">
        <v>35</v>
      </c>
      <c r="I47" s="270"/>
      <c r="J47" s="272" t="s">
        <v>707</v>
      </c>
      <c r="K47" s="272"/>
      <c r="L47" s="272"/>
      <c r="M47" s="269" t="s">
        <v>31</v>
      </c>
      <c r="N47" s="270"/>
      <c r="O47" s="273" t="s">
        <v>790</v>
      </c>
      <c r="P47" s="331"/>
      <c r="Q47" s="332"/>
      <c r="R47" s="269" t="s">
        <v>22</v>
      </c>
      <c r="S47" s="270"/>
      <c r="T47" s="337" t="s">
        <v>896</v>
      </c>
      <c r="U47" s="377"/>
      <c r="V47" s="361" t="s">
        <v>22</v>
      </c>
      <c r="W47" s="352"/>
      <c r="X47" s="363"/>
      <c r="Y47" s="354" t="s">
        <v>389</v>
      </c>
      <c r="Z47" s="354" t="s">
        <v>390</v>
      </c>
      <c r="AA47" s="354" t="s">
        <v>412</v>
      </c>
      <c r="AB47" s="354" t="s">
        <v>414</v>
      </c>
      <c r="AC47" s="354" t="s">
        <v>467</v>
      </c>
      <c r="AD47" s="354"/>
      <c r="AE47" s="354"/>
      <c r="AF47" s="355"/>
      <c r="AG47" s="355"/>
      <c r="AH47" s="355"/>
      <c r="AI47" s="355" t="s">
        <v>591</v>
      </c>
      <c r="AJ47" s="356">
        <v>132</v>
      </c>
      <c r="AK47" s="356"/>
      <c r="AL47" s="356"/>
    </row>
    <row r="48" spans="1:38" ht="168" customHeight="1" thickBot="1">
      <c r="A48" s="239" t="s">
        <v>716</v>
      </c>
      <c r="B48" s="258" t="s">
        <v>371</v>
      </c>
      <c r="C48" s="247" t="s">
        <v>195</v>
      </c>
      <c r="D48" s="248" t="s">
        <v>196</v>
      </c>
      <c r="E48" s="249">
        <v>45323</v>
      </c>
      <c r="F48" s="268"/>
      <c r="G48" s="268"/>
      <c r="H48" s="269" t="s">
        <v>35</v>
      </c>
      <c r="I48" s="270"/>
      <c r="J48" s="272"/>
      <c r="K48" s="272"/>
      <c r="L48" s="272"/>
      <c r="M48" s="269" t="s">
        <v>35</v>
      </c>
      <c r="N48" s="270"/>
      <c r="O48" s="273" t="s">
        <v>825</v>
      </c>
      <c r="P48" s="273"/>
      <c r="Q48" s="328"/>
      <c r="R48" s="269" t="s">
        <v>31</v>
      </c>
      <c r="S48" s="270"/>
      <c r="T48" s="348" t="s">
        <v>852</v>
      </c>
      <c r="U48" s="359"/>
      <c r="V48" s="361" t="s">
        <v>22</v>
      </c>
      <c r="W48" s="362"/>
      <c r="X48" s="363"/>
      <c r="Y48" s="354" t="s">
        <v>833</v>
      </c>
      <c r="Z48" s="354" t="s">
        <v>402</v>
      </c>
      <c r="AA48" s="354" t="s">
        <v>412</v>
      </c>
      <c r="AB48" s="354" t="s">
        <v>204</v>
      </c>
      <c r="AC48" s="355" t="s">
        <v>467</v>
      </c>
      <c r="AD48" s="354"/>
      <c r="AE48" s="354"/>
      <c r="AF48" s="355"/>
      <c r="AG48" s="355"/>
      <c r="AH48" s="355"/>
      <c r="AI48" s="355" t="s">
        <v>591</v>
      </c>
      <c r="AJ48" s="356">
        <v>123</v>
      </c>
      <c r="AK48" s="356"/>
      <c r="AL48" s="356"/>
    </row>
    <row r="49" spans="1:38" ht="168" customHeight="1" thickBot="1">
      <c r="A49" s="239" t="s">
        <v>200</v>
      </c>
      <c r="B49" s="258" t="s">
        <v>206</v>
      </c>
      <c r="C49" s="247" t="s">
        <v>207</v>
      </c>
      <c r="D49" s="252" t="s">
        <v>208</v>
      </c>
      <c r="E49" s="249">
        <v>45352</v>
      </c>
      <c r="F49" s="268" t="s">
        <v>505</v>
      </c>
      <c r="G49" s="268"/>
      <c r="H49" s="269" t="s">
        <v>31</v>
      </c>
      <c r="I49" s="270"/>
      <c r="J49" s="271" t="s">
        <v>699</v>
      </c>
      <c r="K49" s="272"/>
      <c r="L49" s="272"/>
      <c r="M49" s="269" t="s">
        <v>31</v>
      </c>
      <c r="N49" s="270"/>
      <c r="O49" s="273" t="s">
        <v>736</v>
      </c>
      <c r="P49" s="273"/>
      <c r="Q49" s="328"/>
      <c r="R49" s="269" t="s">
        <v>31</v>
      </c>
      <c r="S49" s="270"/>
      <c r="T49" s="337" t="s">
        <v>898</v>
      </c>
      <c r="U49" s="359"/>
      <c r="V49" s="361" t="s">
        <v>22</v>
      </c>
      <c r="W49" s="362"/>
      <c r="X49" s="363"/>
      <c r="Y49" s="354" t="s">
        <v>201</v>
      </c>
      <c r="Z49" s="354" t="s">
        <v>382</v>
      </c>
      <c r="AA49" s="354" t="s">
        <v>403</v>
      </c>
      <c r="AB49" s="354" t="s">
        <v>201</v>
      </c>
      <c r="AC49" s="354" t="s">
        <v>201</v>
      </c>
      <c r="AD49" s="354" t="s">
        <v>467</v>
      </c>
      <c r="AE49" s="354"/>
      <c r="AF49" s="355"/>
      <c r="AG49" s="355"/>
      <c r="AH49" s="355" t="s">
        <v>591</v>
      </c>
      <c r="AI49" s="355" t="s">
        <v>591</v>
      </c>
      <c r="AJ49" s="356">
        <v>1</v>
      </c>
      <c r="AK49" s="356"/>
      <c r="AL49" s="356"/>
    </row>
    <row r="50" spans="1:38" ht="168" customHeight="1" thickBot="1">
      <c r="A50" s="239" t="s">
        <v>200</v>
      </c>
      <c r="B50" s="258" t="s">
        <v>237</v>
      </c>
      <c r="C50" s="247" t="s">
        <v>238</v>
      </c>
      <c r="D50" s="248" t="s">
        <v>239</v>
      </c>
      <c r="E50" s="249">
        <v>45108</v>
      </c>
      <c r="F50" s="268" t="s">
        <v>506</v>
      </c>
      <c r="G50" s="268"/>
      <c r="H50" s="269" t="s">
        <v>31</v>
      </c>
      <c r="I50" s="270"/>
      <c r="J50" s="271" t="s">
        <v>607</v>
      </c>
      <c r="K50" s="271"/>
      <c r="L50" s="272"/>
      <c r="M50" s="269" t="s">
        <v>22</v>
      </c>
      <c r="N50" s="278"/>
      <c r="O50" s="271" t="s">
        <v>737</v>
      </c>
      <c r="P50" s="273"/>
      <c r="Q50" s="328"/>
      <c r="R50" s="269" t="s">
        <v>22</v>
      </c>
      <c r="S50" s="270"/>
      <c r="T50" s="337" t="s">
        <v>918</v>
      </c>
      <c r="U50" s="359"/>
      <c r="V50" s="361" t="s">
        <v>22</v>
      </c>
      <c r="W50" s="362"/>
      <c r="X50" s="363"/>
      <c r="Y50" s="354" t="s">
        <v>201</v>
      </c>
      <c r="Z50" s="354" t="s">
        <v>382</v>
      </c>
      <c r="AA50" s="354" t="s">
        <v>404</v>
      </c>
      <c r="AB50" s="354" t="s">
        <v>201</v>
      </c>
      <c r="AC50" s="354" t="s">
        <v>201</v>
      </c>
      <c r="AD50" s="354"/>
      <c r="AE50" s="354"/>
      <c r="AF50" s="355"/>
      <c r="AG50" s="355"/>
      <c r="AH50" s="355" t="s">
        <v>591</v>
      </c>
      <c r="AI50" s="355"/>
      <c r="AJ50" s="356">
        <v>15</v>
      </c>
      <c r="AK50" s="356"/>
      <c r="AL50" s="356"/>
    </row>
    <row r="51" spans="1:38" ht="168" customHeight="1" thickBot="1">
      <c r="A51" s="239" t="s">
        <v>200</v>
      </c>
      <c r="B51" s="258" t="s">
        <v>240</v>
      </c>
      <c r="C51" s="247" t="s">
        <v>238</v>
      </c>
      <c r="D51" s="248" t="s">
        <v>241</v>
      </c>
      <c r="E51" s="249">
        <v>45170</v>
      </c>
      <c r="F51" s="268" t="s">
        <v>577</v>
      </c>
      <c r="G51" s="268"/>
      <c r="H51" s="269" t="s">
        <v>35</v>
      </c>
      <c r="I51" s="270"/>
      <c r="J51" s="303" t="s">
        <v>608</v>
      </c>
      <c r="K51" s="302"/>
      <c r="L51" s="302"/>
      <c r="M51" s="269" t="s">
        <v>22</v>
      </c>
      <c r="N51" s="278"/>
      <c r="O51" s="273" t="s">
        <v>737</v>
      </c>
      <c r="P51" s="273"/>
      <c r="Q51" s="328"/>
      <c r="R51" s="269" t="s">
        <v>22</v>
      </c>
      <c r="S51" s="278"/>
      <c r="T51" s="336" t="s">
        <v>738</v>
      </c>
      <c r="U51" s="357"/>
      <c r="V51" s="361" t="s">
        <v>22</v>
      </c>
      <c r="W51" s="358"/>
      <c r="X51" s="363"/>
      <c r="Y51" s="354" t="s">
        <v>201</v>
      </c>
      <c r="Z51" s="354" t="s">
        <v>382</v>
      </c>
      <c r="AA51" s="354" t="s">
        <v>404</v>
      </c>
      <c r="AB51" s="354" t="s">
        <v>201</v>
      </c>
      <c r="AC51" s="354" t="s">
        <v>201</v>
      </c>
      <c r="AD51" s="354"/>
      <c r="AE51" s="354"/>
      <c r="AF51" s="355"/>
      <c r="AG51" s="355"/>
      <c r="AH51" s="355" t="s">
        <v>591</v>
      </c>
      <c r="AI51" s="355"/>
      <c r="AJ51" s="356">
        <v>16</v>
      </c>
      <c r="AK51" s="356"/>
      <c r="AL51" s="356"/>
    </row>
    <row r="52" spans="1:38" ht="168" customHeight="1" thickBot="1">
      <c r="A52" s="239" t="s">
        <v>200</v>
      </c>
      <c r="B52" s="258" t="s">
        <v>271</v>
      </c>
      <c r="C52" s="247" t="s">
        <v>269</v>
      </c>
      <c r="D52" s="248" t="s">
        <v>272</v>
      </c>
      <c r="E52" s="249">
        <v>45108</v>
      </c>
      <c r="F52" s="268" t="s">
        <v>507</v>
      </c>
      <c r="G52" s="268"/>
      <c r="H52" s="269" t="s">
        <v>31</v>
      </c>
      <c r="I52" s="270"/>
      <c r="J52" s="303" t="s">
        <v>660</v>
      </c>
      <c r="K52" s="276"/>
      <c r="L52" s="277"/>
      <c r="M52" s="269" t="s">
        <v>22</v>
      </c>
      <c r="N52" s="278"/>
      <c r="O52" s="276" t="s">
        <v>739</v>
      </c>
      <c r="P52" s="273"/>
      <c r="Q52" s="328"/>
      <c r="R52" s="269" t="s">
        <v>22</v>
      </c>
      <c r="S52" s="278"/>
      <c r="T52" s="336" t="s">
        <v>738</v>
      </c>
      <c r="U52" s="357"/>
      <c r="V52" s="361" t="s">
        <v>22</v>
      </c>
      <c r="W52" s="358"/>
      <c r="X52" s="363"/>
      <c r="Y52" s="354" t="s">
        <v>201</v>
      </c>
      <c r="Z52" s="354" t="s">
        <v>382</v>
      </c>
      <c r="AA52" s="354" t="s">
        <v>406</v>
      </c>
      <c r="AB52" s="354" t="s">
        <v>109</v>
      </c>
      <c r="AC52" s="354" t="s">
        <v>201</v>
      </c>
      <c r="AD52" s="354"/>
      <c r="AE52" s="354"/>
      <c r="AF52" s="355"/>
      <c r="AG52" s="355"/>
      <c r="AH52" s="355" t="s">
        <v>591</v>
      </c>
      <c r="AI52" s="355"/>
      <c r="AJ52" s="356">
        <v>30</v>
      </c>
      <c r="AK52" s="356"/>
      <c r="AL52" s="356"/>
    </row>
    <row r="53" spans="1:38" ht="168" customHeight="1" thickBot="1">
      <c r="A53" s="239" t="s">
        <v>200</v>
      </c>
      <c r="B53" s="258" t="s">
        <v>273</v>
      </c>
      <c r="C53" s="247" t="s">
        <v>269</v>
      </c>
      <c r="D53" s="248" t="s">
        <v>274</v>
      </c>
      <c r="E53" s="249">
        <v>45108</v>
      </c>
      <c r="F53" s="268" t="s">
        <v>508</v>
      </c>
      <c r="G53" s="268"/>
      <c r="H53" s="269" t="s">
        <v>31</v>
      </c>
      <c r="I53" s="270"/>
      <c r="J53" s="276" t="s">
        <v>609</v>
      </c>
      <c r="K53" s="276"/>
      <c r="L53" s="277"/>
      <c r="M53" s="269" t="s">
        <v>22</v>
      </c>
      <c r="N53" s="278"/>
      <c r="O53" s="273" t="s">
        <v>738</v>
      </c>
      <c r="P53" s="273"/>
      <c r="Q53" s="328"/>
      <c r="R53" s="269" t="s">
        <v>22</v>
      </c>
      <c r="S53" s="278"/>
      <c r="T53" s="336" t="s">
        <v>918</v>
      </c>
      <c r="U53" s="357"/>
      <c r="V53" s="361" t="s">
        <v>22</v>
      </c>
      <c r="W53" s="358"/>
      <c r="X53" s="353"/>
      <c r="Y53" s="354" t="s">
        <v>201</v>
      </c>
      <c r="Z53" s="354" t="s">
        <v>382</v>
      </c>
      <c r="AA53" s="354" t="s">
        <v>406</v>
      </c>
      <c r="AB53" s="354" t="s">
        <v>109</v>
      </c>
      <c r="AC53" s="354" t="s">
        <v>201</v>
      </c>
      <c r="AD53" s="354"/>
      <c r="AE53" s="354"/>
      <c r="AF53" s="355"/>
      <c r="AG53" s="355"/>
      <c r="AH53" s="355" t="s">
        <v>591</v>
      </c>
      <c r="AI53" s="355"/>
      <c r="AJ53" s="356">
        <v>31</v>
      </c>
      <c r="AK53" s="356"/>
      <c r="AL53" s="356"/>
    </row>
    <row r="54" spans="1:38" ht="168" customHeight="1" thickBot="1">
      <c r="A54" s="239" t="s">
        <v>200</v>
      </c>
      <c r="B54" s="258" t="s">
        <v>275</v>
      </c>
      <c r="C54" s="247" t="s">
        <v>269</v>
      </c>
      <c r="D54" s="248" t="s">
        <v>276</v>
      </c>
      <c r="E54" s="249">
        <v>45170</v>
      </c>
      <c r="F54" s="268"/>
      <c r="G54" s="268"/>
      <c r="H54" s="269" t="s">
        <v>35</v>
      </c>
      <c r="I54" s="270"/>
      <c r="J54" s="271" t="s">
        <v>610</v>
      </c>
      <c r="K54" s="271"/>
      <c r="L54" s="272"/>
      <c r="M54" s="269" t="s">
        <v>22</v>
      </c>
      <c r="N54" s="270"/>
      <c r="O54" s="273" t="s">
        <v>738</v>
      </c>
      <c r="P54" s="273"/>
      <c r="Q54" s="328"/>
      <c r="R54" s="269" t="s">
        <v>22</v>
      </c>
      <c r="S54" s="270"/>
      <c r="T54" s="337" t="s">
        <v>918</v>
      </c>
      <c r="U54" s="359"/>
      <c r="V54" s="361" t="s">
        <v>22</v>
      </c>
      <c r="W54" s="367"/>
      <c r="X54" s="363"/>
      <c r="Y54" s="354" t="s">
        <v>201</v>
      </c>
      <c r="Z54" s="354" t="s">
        <v>382</v>
      </c>
      <c r="AA54" s="354" t="s">
        <v>406</v>
      </c>
      <c r="AB54" s="354" t="s">
        <v>201</v>
      </c>
      <c r="AC54" s="354" t="s">
        <v>201</v>
      </c>
      <c r="AD54" s="354"/>
      <c r="AE54" s="354"/>
      <c r="AF54" s="355"/>
      <c r="AG54" s="355"/>
      <c r="AH54" s="355" t="s">
        <v>591</v>
      </c>
      <c r="AI54" s="355"/>
      <c r="AJ54" s="356">
        <v>32</v>
      </c>
      <c r="AK54" s="356"/>
      <c r="AL54" s="356"/>
    </row>
    <row r="55" spans="1:38" ht="217.5" customHeight="1" thickBot="1">
      <c r="A55" s="239" t="s">
        <v>200</v>
      </c>
      <c r="B55" s="258" t="s">
        <v>345</v>
      </c>
      <c r="C55" s="247" t="s">
        <v>122</v>
      </c>
      <c r="D55" s="248" t="s">
        <v>465</v>
      </c>
      <c r="E55" s="249">
        <v>45170</v>
      </c>
      <c r="F55" s="268" t="s">
        <v>509</v>
      </c>
      <c r="G55" s="268"/>
      <c r="H55" s="341" t="s">
        <v>31</v>
      </c>
      <c r="I55" s="270"/>
      <c r="J55" s="271" t="s">
        <v>702</v>
      </c>
      <c r="K55" s="271"/>
      <c r="L55" s="272"/>
      <c r="M55" s="341" t="s">
        <v>26</v>
      </c>
      <c r="N55" s="270"/>
      <c r="O55" s="338" t="s">
        <v>845</v>
      </c>
      <c r="P55" s="338"/>
      <c r="Q55" s="338"/>
      <c r="R55" s="341" t="s">
        <v>33</v>
      </c>
      <c r="S55" s="270"/>
      <c r="T55" s="337" t="s">
        <v>937</v>
      </c>
      <c r="U55" s="337"/>
      <c r="V55" s="396" t="s">
        <v>28</v>
      </c>
      <c r="W55" s="362" t="s">
        <v>936</v>
      </c>
      <c r="X55" s="363"/>
      <c r="Y55" s="354" t="s">
        <v>201</v>
      </c>
      <c r="Z55" s="354" t="s">
        <v>382</v>
      </c>
      <c r="AA55" s="354" t="s">
        <v>412</v>
      </c>
      <c r="AB55" s="354" t="s">
        <v>201</v>
      </c>
      <c r="AC55" s="354" t="s">
        <v>201</v>
      </c>
      <c r="AD55" s="354"/>
      <c r="AE55" s="354"/>
      <c r="AF55" s="355"/>
      <c r="AG55" s="355"/>
      <c r="AH55" s="355" t="s">
        <v>591</v>
      </c>
      <c r="AI55" s="355"/>
      <c r="AJ55" s="356">
        <v>93</v>
      </c>
      <c r="AK55" s="356"/>
      <c r="AL55" s="356"/>
    </row>
    <row r="56" spans="1:38" ht="168" customHeight="1" thickBot="1">
      <c r="A56" s="239" t="s">
        <v>200</v>
      </c>
      <c r="B56" s="258" t="s">
        <v>346</v>
      </c>
      <c r="C56" s="247" t="s">
        <v>122</v>
      </c>
      <c r="D56" s="248" t="s">
        <v>123</v>
      </c>
      <c r="E56" s="249">
        <v>45352</v>
      </c>
      <c r="F56" s="268" t="s">
        <v>578</v>
      </c>
      <c r="G56" s="268"/>
      <c r="H56" s="269" t="s">
        <v>35</v>
      </c>
      <c r="I56" s="270"/>
      <c r="J56" s="272"/>
      <c r="K56" s="271"/>
      <c r="L56" s="272"/>
      <c r="M56" s="269" t="s">
        <v>35</v>
      </c>
      <c r="N56" s="270"/>
      <c r="O56" s="273" t="s">
        <v>740</v>
      </c>
      <c r="P56" s="273"/>
      <c r="Q56" s="328"/>
      <c r="R56" s="269" t="s">
        <v>31</v>
      </c>
      <c r="S56" s="270"/>
      <c r="T56" s="348" t="s">
        <v>862</v>
      </c>
      <c r="U56" s="359"/>
      <c r="V56" s="361" t="s">
        <v>22</v>
      </c>
      <c r="W56" s="362"/>
      <c r="X56" s="363"/>
      <c r="Y56" s="354" t="s">
        <v>201</v>
      </c>
      <c r="Z56" s="354" t="s">
        <v>382</v>
      </c>
      <c r="AA56" s="354" t="s">
        <v>412</v>
      </c>
      <c r="AB56" s="354" t="s">
        <v>201</v>
      </c>
      <c r="AC56" s="354" t="s">
        <v>201</v>
      </c>
      <c r="AD56" s="354"/>
      <c r="AE56" s="354"/>
      <c r="AF56" s="355"/>
      <c r="AG56" s="355"/>
      <c r="AH56" s="355" t="s">
        <v>591</v>
      </c>
      <c r="AI56" s="355"/>
      <c r="AJ56" s="356">
        <v>94</v>
      </c>
      <c r="AK56" s="356"/>
      <c r="AL56" s="356"/>
    </row>
    <row r="57" spans="1:38" ht="168" customHeight="1" thickBot="1">
      <c r="A57" s="239" t="s">
        <v>200</v>
      </c>
      <c r="B57" s="259" t="s">
        <v>347</v>
      </c>
      <c r="C57" s="247" t="s">
        <v>122</v>
      </c>
      <c r="D57" s="248" t="s">
        <v>124</v>
      </c>
      <c r="E57" s="249">
        <v>45352</v>
      </c>
      <c r="F57" s="268"/>
      <c r="G57" s="268"/>
      <c r="H57" s="269" t="s">
        <v>35</v>
      </c>
      <c r="I57" s="287"/>
      <c r="J57" s="272" t="s">
        <v>611</v>
      </c>
      <c r="K57" s="271"/>
      <c r="L57" s="272"/>
      <c r="M57" s="269" t="s">
        <v>31</v>
      </c>
      <c r="N57" s="270"/>
      <c r="O57" s="273" t="s">
        <v>734</v>
      </c>
      <c r="P57" s="273"/>
      <c r="Q57" s="328"/>
      <c r="R57" s="269" t="s">
        <v>31</v>
      </c>
      <c r="S57" s="270"/>
      <c r="T57" s="337" t="s">
        <v>899</v>
      </c>
      <c r="U57" s="359"/>
      <c r="V57" s="361" t="s">
        <v>22</v>
      </c>
      <c r="W57" s="362"/>
      <c r="X57" s="353"/>
      <c r="Y57" s="354" t="s">
        <v>201</v>
      </c>
      <c r="Z57" s="354" t="s">
        <v>382</v>
      </c>
      <c r="AA57" s="354" t="s">
        <v>412</v>
      </c>
      <c r="AB57" s="354" t="s">
        <v>201</v>
      </c>
      <c r="AC57" s="354" t="s">
        <v>201</v>
      </c>
      <c r="AD57" s="354"/>
      <c r="AE57" s="354"/>
      <c r="AF57" s="355"/>
      <c r="AG57" s="355"/>
      <c r="AH57" s="355" t="s">
        <v>591</v>
      </c>
      <c r="AI57" s="355"/>
      <c r="AJ57" s="356">
        <v>95</v>
      </c>
      <c r="AK57" s="356"/>
      <c r="AL57" s="356"/>
    </row>
    <row r="58" spans="1:38" ht="168" customHeight="1" thickBot="1">
      <c r="A58" s="239" t="s">
        <v>200</v>
      </c>
      <c r="B58" s="258" t="s">
        <v>348</v>
      </c>
      <c r="C58" s="247" t="s">
        <v>83</v>
      </c>
      <c r="D58" s="248" t="s">
        <v>349</v>
      </c>
      <c r="E58" s="249">
        <v>45170</v>
      </c>
      <c r="F58" s="268" t="s">
        <v>510</v>
      </c>
      <c r="G58" s="268"/>
      <c r="H58" s="269" t="s">
        <v>31</v>
      </c>
      <c r="I58" s="287"/>
      <c r="J58" s="271" t="s">
        <v>661</v>
      </c>
      <c r="K58" s="271"/>
      <c r="L58" s="272"/>
      <c r="M58" s="269" t="s">
        <v>22</v>
      </c>
      <c r="N58" s="270"/>
      <c r="O58" s="273" t="s">
        <v>738</v>
      </c>
      <c r="P58" s="273"/>
      <c r="Q58" s="328"/>
      <c r="R58" s="269" t="s">
        <v>22</v>
      </c>
      <c r="S58" s="270"/>
      <c r="T58" s="382" t="s">
        <v>772</v>
      </c>
      <c r="U58" s="359"/>
      <c r="V58" s="361" t="s">
        <v>22</v>
      </c>
      <c r="W58" s="362"/>
      <c r="X58" s="353"/>
      <c r="Y58" s="354" t="s">
        <v>201</v>
      </c>
      <c r="Z58" s="354" t="s">
        <v>382</v>
      </c>
      <c r="AA58" s="354" t="s">
        <v>412</v>
      </c>
      <c r="AB58" s="354" t="s">
        <v>201</v>
      </c>
      <c r="AC58" s="354" t="s">
        <v>201</v>
      </c>
      <c r="AD58" s="354"/>
      <c r="AE58" s="354"/>
      <c r="AF58" s="355"/>
      <c r="AG58" s="355"/>
      <c r="AH58" s="355" t="s">
        <v>591</v>
      </c>
      <c r="AI58" s="355"/>
      <c r="AJ58" s="356">
        <v>96</v>
      </c>
      <c r="AK58" s="356"/>
      <c r="AL58" s="356"/>
    </row>
    <row r="59" spans="1:38" ht="168" customHeight="1" thickBot="1">
      <c r="A59" s="239" t="s">
        <v>200</v>
      </c>
      <c r="B59" s="258" t="s">
        <v>350</v>
      </c>
      <c r="C59" s="247" t="s">
        <v>83</v>
      </c>
      <c r="D59" s="248" t="s">
        <v>119</v>
      </c>
      <c r="E59" s="249">
        <v>45139</v>
      </c>
      <c r="F59" s="268" t="s">
        <v>593</v>
      </c>
      <c r="G59" s="268"/>
      <c r="H59" s="269" t="s">
        <v>32</v>
      </c>
      <c r="I59" s="287"/>
      <c r="J59" s="271" t="s">
        <v>694</v>
      </c>
      <c r="K59" s="271"/>
      <c r="L59" s="272"/>
      <c r="M59" s="269" t="s">
        <v>26</v>
      </c>
      <c r="N59" s="270"/>
      <c r="O59" s="273" t="s">
        <v>846</v>
      </c>
      <c r="P59" s="273"/>
      <c r="Q59" s="328"/>
      <c r="R59" s="269" t="s">
        <v>26</v>
      </c>
      <c r="S59" s="270"/>
      <c r="T59" s="337" t="s">
        <v>900</v>
      </c>
      <c r="U59" s="359"/>
      <c r="V59" s="361" t="s">
        <v>26</v>
      </c>
      <c r="W59" s="362"/>
      <c r="X59" s="363"/>
      <c r="Y59" s="354" t="s">
        <v>201</v>
      </c>
      <c r="Z59" s="354" t="s">
        <v>382</v>
      </c>
      <c r="AA59" s="354" t="s">
        <v>412</v>
      </c>
      <c r="AB59" s="354" t="s">
        <v>201</v>
      </c>
      <c r="AC59" s="354" t="s">
        <v>201</v>
      </c>
      <c r="AD59" s="354"/>
      <c r="AE59" s="354"/>
      <c r="AF59" s="355"/>
      <c r="AG59" s="355"/>
      <c r="AH59" s="355" t="s">
        <v>591</v>
      </c>
      <c r="AI59" s="355"/>
      <c r="AJ59" s="356">
        <v>97</v>
      </c>
      <c r="AK59" s="356"/>
      <c r="AL59" s="356"/>
    </row>
    <row r="60" spans="1:38" ht="168" customHeight="1" thickBot="1">
      <c r="A60" s="239" t="s">
        <v>200</v>
      </c>
      <c r="B60" s="258" t="s">
        <v>351</v>
      </c>
      <c r="C60" s="247" t="s">
        <v>83</v>
      </c>
      <c r="D60" s="248" t="s">
        <v>121</v>
      </c>
      <c r="E60" s="249">
        <v>45323</v>
      </c>
      <c r="F60" s="268" t="s">
        <v>594</v>
      </c>
      <c r="G60" s="268"/>
      <c r="H60" s="269" t="s">
        <v>32</v>
      </c>
      <c r="I60" s="270"/>
      <c r="J60" s="271" t="s">
        <v>711</v>
      </c>
      <c r="K60" s="271"/>
      <c r="L60" s="272"/>
      <c r="M60" s="269" t="s">
        <v>30</v>
      </c>
      <c r="N60" s="270"/>
      <c r="O60" s="338" t="s">
        <v>791</v>
      </c>
      <c r="P60" s="273"/>
      <c r="Q60" s="328"/>
      <c r="R60" s="269" t="s">
        <v>30</v>
      </c>
      <c r="S60" s="270"/>
      <c r="T60" s="337" t="s">
        <v>791</v>
      </c>
      <c r="U60" s="359"/>
      <c r="V60" s="361" t="s">
        <v>30</v>
      </c>
      <c r="W60" s="362"/>
      <c r="X60" s="363"/>
      <c r="Y60" s="354" t="s">
        <v>201</v>
      </c>
      <c r="Z60" s="354" t="s">
        <v>382</v>
      </c>
      <c r="AA60" s="354" t="s">
        <v>412</v>
      </c>
      <c r="AB60" s="354" t="s">
        <v>201</v>
      </c>
      <c r="AC60" s="354" t="s">
        <v>201</v>
      </c>
      <c r="AD60" s="354"/>
      <c r="AE60" s="354"/>
      <c r="AF60" s="355"/>
      <c r="AG60" s="355"/>
      <c r="AH60" s="355" t="s">
        <v>591</v>
      </c>
      <c r="AI60" s="355"/>
      <c r="AJ60" s="356">
        <v>98</v>
      </c>
      <c r="AK60" s="356"/>
      <c r="AL60" s="356"/>
    </row>
    <row r="61" spans="1:38" ht="168" customHeight="1" thickBot="1">
      <c r="A61" s="239" t="s">
        <v>200</v>
      </c>
      <c r="B61" s="258" t="s">
        <v>352</v>
      </c>
      <c r="C61" s="247" t="s">
        <v>83</v>
      </c>
      <c r="D61" s="248" t="s">
        <v>120</v>
      </c>
      <c r="E61" s="249">
        <v>45108</v>
      </c>
      <c r="F61" s="268" t="s">
        <v>584</v>
      </c>
      <c r="G61" s="268"/>
      <c r="H61" s="269" t="s">
        <v>31</v>
      </c>
      <c r="I61" s="270"/>
      <c r="J61" s="271" t="s">
        <v>612</v>
      </c>
      <c r="K61" s="271"/>
      <c r="L61" s="272"/>
      <c r="M61" s="269" t="s">
        <v>22</v>
      </c>
      <c r="N61" s="270"/>
      <c r="O61" s="273" t="s">
        <v>738</v>
      </c>
      <c r="P61" s="273"/>
      <c r="Q61" s="328"/>
      <c r="R61" s="269" t="s">
        <v>22</v>
      </c>
      <c r="S61" s="270"/>
      <c r="T61" s="337" t="s">
        <v>918</v>
      </c>
      <c r="U61" s="359"/>
      <c r="V61" s="361" t="s">
        <v>22</v>
      </c>
      <c r="W61" s="362"/>
      <c r="X61" s="353"/>
      <c r="Y61" s="354" t="s">
        <v>201</v>
      </c>
      <c r="Z61" s="354" t="s">
        <v>382</v>
      </c>
      <c r="AA61" s="354" t="s">
        <v>412</v>
      </c>
      <c r="AB61" s="354" t="s">
        <v>201</v>
      </c>
      <c r="AC61" s="354" t="s">
        <v>201</v>
      </c>
      <c r="AD61" s="354"/>
      <c r="AE61" s="354"/>
      <c r="AF61" s="355"/>
      <c r="AG61" s="355"/>
      <c r="AH61" s="355" t="s">
        <v>591</v>
      </c>
      <c r="AI61" s="355"/>
      <c r="AJ61" s="356">
        <v>99</v>
      </c>
      <c r="AK61" s="356"/>
      <c r="AL61" s="356"/>
    </row>
    <row r="62" spans="1:38" ht="168" customHeight="1" thickBot="1">
      <c r="A62" s="239" t="s">
        <v>200</v>
      </c>
      <c r="B62" s="258" t="s">
        <v>353</v>
      </c>
      <c r="C62" s="247" t="s">
        <v>125</v>
      </c>
      <c r="D62" s="248" t="s">
        <v>354</v>
      </c>
      <c r="E62" s="249">
        <v>45108</v>
      </c>
      <c r="F62" s="268" t="s">
        <v>511</v>
      </c>
      <c r="G62" s="268"/>
      <c r="H62" s="269" t="s">
        <v>31</v>
      </c>
      <c r="I62" s="270"/>
      <c r="J62" s="271" t="s">
        <v>613</v>
      </c>
      <c r="K62" s="271"/>
      <c r="L62" s="272"/>
      <c r="M62" s="269" t="s">
        <v>22</v>
      </c>
      <c r="N62" s="270"/>
      <c r="O62" s="273" t="s">
        <v>738</v>
      </c>
      <c r="P62" s="273"/>
      <c r="Q62" s="328"/>
      <c r="R62" s="269" t="s">
        <v>22</v>
      </c>
      <c r="S62" s="270"/>
      <c r="T62" s="337" t="s">
        <v>918</v>
      </c>
      <c r="U62" s="359"/>
      <c r="V62" s="361" t="s">
        <v>22</v>
      </c>
      <c r="W62" s="362"/>
      <c r="X62" s="363"/>
      <c r="Y62" s="354" t="s">
        <v>201</v>
      </c>
      <c r="Z62" s="354" t="s">
        <v>382</v>
      </c>
      <c r="AA62" s="354" t="s">
        <v>412</v>
      </c>
      <c r="AB62" s="354" t="s">
        <v>201</v>
      </c>
      <c r="AC62" s="354" t="s">
        <v>201</v>
      </c>
      <c r="AD62" s="354"/>
      <c r="AE62" s="354"/>
      <c r="AF62" s="355"/>
      <c r="AG62" s="355"/>
      <c r="AH62" s="355" t="s">
        <v>591</v>
      </c>
      <c r="AI62" s="355"/>
      <c r="AJ62" s="356">
        <v>100</v>
      </c>
      <c r="AK62" s="356"/>
      <c r="AL62" s="356"/>
    </row>
    <row r="63" spans="1:38" ht="168" customHeight="1" thickBot="1">
      <c r="A63" s="239" t="s">
        <v>200</v>
      </c>
      <c r="B63" s="258" t="s">
        <v>355</v>
      </c>
      <c r="C63" s="247" t="s">
        <v>125</v>
      </c>
      <c r="D63" s="248" t="s">
        <v>356</v>
      </c>
      <c r="E63" s="249">
        <v>45108</v>
      </c>
      <c r="F63" s="268" t="s">
        <v>551</v>
      </c>
      <c r="G63" s="268"/>
      <c r="H63" s="269" t="s">
        <v>31</v>
      </c>
      <c r="I63" s="270" t="s">
        <v>552</v>
      </c>
      <c r="J63" s="271" t="s">
        <v>614</v>
      </c>
      <c r="K63" s="271"/>
      <c r="L63" s="272"/>
      <c r="M63" s="269" t="s">
        <v>22</v>
      </c>
      <c r="N63" s="310"/>
      <c r="O63" s="273" t="s">
        <v>738</v>
      </c>
      <c r="P63" s="273"/>
      <c r="Q63" s="328"/>
      <c r="R63" s="269" t="s">
        <v>22</v>
      </c>
      <c r="S63" s="270"/>
      <c r="T63" s="337" t="s">
        <v>918</v>
      </c>
      <c r="U63" s="359"/>
      <c r="V63" s="361" t="s">
        <v>22</v>
      </c>
      <c r="W63" s="362"/>
      <c r="X63" s="363"/>
      <c r="Y63" s="354" t="s">
        <v>201</v>
      </c>
      <c r="Z63" s="354" t="s">
        <v>382</v>
      </c>
      <c r="AA63" s="354" t="s">
        <v>412</v>
      </c>
      <c r="AB63" s="354" t="s">
        <v>201</v>
      </c>
      <c r="AC63" s="354" t="s">
        <v>201</v>
      </c>
      <c r="AD63" s="354"/>
      <c r="AE63" s="354"/>
      <c r="AF63" s="355"/>
      <c r="AG63" s="355"/>
      <c r="AH63" s="355" t="s">
        <v>591</v>
      </c>
      <c r="AI63" s="355"/>
      <c r="AJ63" s="356">
        <v>101</v>
      </c>
      <c r="AK63" s="356"/>
      <c r="AL63" s="356"/>
    </row>
    <row r="64" spans="1:38" ht="168" customHeight="1" thickBot="1">
      <c r="A64" s="239" t="s">
        <v>200</v>
      </c>
      <c r="B64" s="258" t="s">
        <v>357</v>
      </c>
      <c r="C64" s="247" t="s">
        <v>125</v>
      </c>
      <c r="D64" s="248" t="s">
        <v>358</v>
      </c>
      <c r="E64" s="249">
        <v>45170</v>
      </c>
      <c r="F64" s="268"/>
      <c r="G64" s="268"/>
      <c r="H64" s="269" t="s">
        <v>35</v>
      </c>
      <c r="I64" s="270"/>
      <c r="J64" s="271" t="s">
        <v>662</v>
      </c>
      <c r="K64" s="276"/>
      <c r="L64" s="277"/>
      <c r="M64" s="269" t="s">
        <v>22</v>
      </c>
      <c r="N64" s="278"/>
      <c r="O64" s="273" t="s">
        <v>738</v>
      </c>
      <c r="P64" s="273"/>
      <c r="Q64" s="328"/>
      <c r="R64" s="269" t="s">
        <v>22</v>
      </c>
      <c r="S64" s="278"/>
      <c r="T64" s="336" t="s">
        <v>918</v>
      </c>
      <c r="U64" s="357"/>
      <c r="V64" s="361" t="s">
        <v>22</v>
      </c>
      <c r="W64" s="358"/>
      <c r="X64" s="363"/>
      <c r="Y64" s="354" t="s">
        <v>201</v>
      </c>
      <c r="Z64" s="354" t="s">
        <v>382</v>
      </c>
      <c r="AA64" s="354" t="s">
        <v>412</v>
      </c>
      <c r="AB64" s="354" t="s">
        <v>201</v>
      </c>
      <c r="AC64" s="354" t="s">
        <v>201</v>
      </c>
      <c r="AD64" s="354"/>
      <c r="AE64" s="354"/>
      <c r="AF64" s="355"/>
      <c r="AG64" s="355"/>
      <c r="AH64" s="355" t="s">
        <v>591</v>
      </c>
      <c r="AI64" s="355"/>
      <c r="AJ64" s="356">
        <v>102</v>
      </c>
      <c r="AK64" s="356"/>
      <c r="AL64" s="356"/>
    </row>
    <row r="65" spans="1:38" ht="168" customHeight="1" thickBot="1">
      <c r="A65" s="239" t="s">
        <v>200</v>
      </c>
      <c r="B65" s="258" t="s">
        <v>359</v>
      </c>
      <c r="C65" s="247" t="s">
        <v>84</v>
      </c>
      <c r="D65" s="248" t="s">
        <v>360</v>
      </c>
      <c r="E65" s="249">
        <v>45352</v>
      </c>
      <c r="F65" s="268" t="s">
        <v>512</v>
      </c>
      <c r="G65" s="268"/>
      <c r="H65" s="269" t="s">
        <v>31</v>
      </c>
      <c r="I65" s="270"/>
      <c r="J65" s="271" t="s">
        <v>695</v>
      </c>
      <c r="K65" s="271"/>
      <c r="L65" s="272"/>
      <c r="M65" s="269" t="s">
        <v>31</v>
      </c>
      <c r="N65" s="270"/>
      <c r="O65" s="276" t="s">
        <v>735</v>
      </c>
      <c r="P65" s="273"/>
      <c r="Q65" s="328"/>
      <c r="R65" s="269" t="s">
        <v>31</v>
      </c>
      <c r="S65" s="270"/>
      <c r="T65" s="337" t="s">
        <v>901</v>
      </c>
      <c r="U65" s="359"/>
      <c r="V65" s="361" t="s">
        <v>22</v>
      </c>
      <c r="W65" s="362"/>
      <c r="X65" s="363"/>
      <c r="Y65" s="354" t="s">
        <v>201</v>
      </c>
      <c r="Z65" s="354" t="s">
        <v>382</v>
      </c>
      <c r="AA65" s="354" t="s">
        <v>412</v>
      </c>
      <c r="AB65" s="354" t="s">
        <v>201</v>
      </c>
      <c r="AC65" s="354" t="s">
        <v>201</v>
      </c>
      <c r="AD65" s="354"/>
      <c r="AE65" s="354"/>
      <c r="AF65" s="355"/>
      <c r="AG65" s="355"/>
      <c r="AH65" s="355" t="s">
        <v>591</v>
      </c>
      <c r="AI65" s="355"/>
      <c r="AJ65" s="356">
        <v>103</v>
      </c>
      <c r="AK65" s="356"/>
      <c r="AL65" s="356"/>
    </row>
    <row r="66" spans="1:38" ht="168" customHeight="1" thickBot="1">
      <c r="A66" s="239" t="s">
        <v>200</v>
      </c>
      <c r="B66" s="258" t="s">
        <v>361</v>
      </c>
      <c r="C66" s="247" t="s">
        <v>84</v>
      </c>
      <c r="D66" s="248" t="s">
        <v>126</v>
      </c>
      <c r="E66" s="249">
        <v>45352</v>
      </c>
      <c r="F66" s="268" t="s">
        <v>513</v>
      </c>
      <c r="G66" s="268"/>
      <c r="H66" s="269" t="s">
        <v>35</v>
      </c>
      <c r="I66" s="270"/>
      <c r="J66" s="276" t="s">
        <v>615</v>
      </c>
      <c r="K66" s="271"/>
      <c r="L66" s="272"/>
      <c r="M66" s="269" t="s">
        <v>31</v>
      </c>
      <c r="N66" s="270"/>
      <c r="O66" s="276"/>
      <c r="P66" s="273"/>
      <c r="Q66" s="328"/>
      <c r="R66" s="269" t="s">
        <v>35</v>
      </c>
      <c r="S66" s="270"/>
      <c r="T66" s="383" t="s">
        <v>902</v>
      </c>
      <c r="U66" s="359"/>
      <c r="V66" s="361" t="s">
        <v>22</v>
      </c>
      <c r="W66" s="362"/>
      <c r="X66" s="363"/>
      <c r="Y66" s="354" t="s">
        <v>201</v>
      </c>
      <c r="Z66" s="354" t="s">
        <v>382</v>
      </c>
      <c r="AA66" s="354" t="s">
        <v>412</v>
      </c>
      <c r="AB66" s="354" t="s">
        <v>201</v>
      </c>
      <c r="AC66" s="354" t="s">
        <v>467</v>
      </c>
      <c r="AD66" s="354" t="s">
        <v>201</v>
      </c>
      <c r="AE66" s="354"/>
      <c r="AF66" s="355"/>
      <c r="AG66" s="355"/>
      <c r="AH66" s="355" t="s">
        <v>591</v>
      </c>
      <c r="AI66" s="355" t="s">
        <v>591</v>
      </c>
      <c r="AJ66" s="356">
        <v>104</v>
      </c>
      <c r="AK66" s="356"/>
      <c r="AL66" s="356"/>
    </row>
    <row r="67" spans="1:38" ht="168" customHeight="1" thickBot="1">
      <c r="A67" s="239" t="s">
        <v>823</v>
      </c>
      <c r="B67" s="258" t="s">
        <v>372</v>
      </c>
      <c r="C67" s="247" t="s">
        <v>195</v>
      </c>
      <c r="D67" s="248" t="s">
        <v>197</v>
      </c>
      <c r="E67" s="249">
        <v>45323</v>
      </c>
      <c r="F67" s="286" t="s">
        <v>469</v>
      </c>
      <c r="G67" s="268"/>
      <c r="H67" s="269" t="s">
        <v>35</v>
      </c>
      <c r="I67" s="270"/>
      <c r="J67" s="317" t="s">
        <v>599</v>
      </c>
      <c r="K67" s="271"/>
      <c r="L67" s="272"/>
      <c r="M67" s="269" t="s">
        <v>31</v>
      </c>
      <c r="N67" s="270"/>
      <c r="O67" s="273" t="s">
        <v>824</v>
      </c>
      <c r="P67" s="273"/>
      <c r="Q67" s="328"/>
      <c r="R67" s="269" t="s">
        <v>31</v>
      </c>
      <c r="S67" s="270"/>
      <c r="T67" s="348" t="s">
        <v>852</v>
      </c>
      <c r="U67" s="359"/>
      <c r="V67" s="361" t="s">
        <v>22</v>
      </c>
      <c r="W67" s="362"/>
      <c r="X67" s="353"/>
      <c r="Y67" s="354" t="s">
        <v>833</v>
      </c>
      <c r="Z67" s="354" t="s">
        <v>402</v>
      </c>
      <c r="AA67" s="354" t="s">
        <v>412</v>
      </c>
      <c r="AB67" s="354" t="s">
        <v>204</v>
      </c>
      <c r="AC67" s="354" t="s">
        <v>467</v>
      </c>
      <c r="AD67" s="354"/>
      <c r="AE67" s="354"/>
      <c r="AF67" s="355"/>
      <c r="AG67" s="355"/>
      <c r="AH67" s="355"/>
      <c r="AI67" s="355" t="s">
        <v>591</v>
      </c>
      <c r="AJ67" s="356">
        <v>124</v>
      </c>
      <c r="AK67" s="356"/>
      <c r="AL67" s="356"/>
    </row>
    <row r="68" spans="1:38" ht="168" customHeight="1" thickBot="1">
      <c r="A68" s="239" t="s">
        <v>823</v>
      </c>
      <c r="B68" s="258" t="s">
        <v>373</v>
      </c>
      <c r="C68" s="247" t="s">
        <v>195</v>
      </c>
      <c r="D68" s="248" t="s">
        <v>198</v>
      </c>
      <c r="E68" s="249">
        <v>45352</v>
      </c>
      <c r="F68" s="286"/>
      <c r="G68" s="268"/>
      <c r="H68" s="269" t="s">
        <v>35</v>
      </c>
      <c r="I68" s="287"/>
      <c r="J68" s="271" t="s">
        <v>665</v>
      </c>
      <c r="K68" s="271"/>
      <c r="L68" s="272"/>
      <c r="M68" s="269" t="s">
        <v>31</v>
      </c>
      <c r="N68" s="270"/>
      <c r="O68" s="342"/>
      <c r="P68" s="273"/>
      <c r="Q68" s="328"/>
      <c r="R68" s="269" t="s">
        <v>31</v>
      </c>
      <c r="S68" s="270"/>
      <c r="T68" s="348" t="s">
        <v>854</v>
      </c>
      <c r="U68" s="359"/>
      <c r="V68" s="361" t="s">
        <v>22</v>
      </c>
      <c r="W68" s="349" t="s">
        <v>853</v>
      </c>
      <c r="X68" s="363"/>
      <c r="Y68" s="354" t="s">
        <v>833</v>
      </c>
      <c r="Z68" s="354" t="s">
        <v>402</v>
      </c>
      <c r="AA68" s="354" t="s">
        <v>412</v>
      </c>
      <c r="AB68" s="354" t="s">
        <v>204</v>
      </c>
      <c r="AC68" s="354" t="s">
        <v>467</v>
      </c>
      <c r="AD68" s="354"/>
      <c r="AE68" s="354"/>
      <c r="AF68" s="355"/>
      <c r="AG68" s="355"/>
      <c r="AH68" s="355"/>
      <c r="AI68" s="355" t="s">
        <v>591</v>
      </c>
      <c r="AJ68" s="356">
        <v>125</v>
      </c>
      <c r="AK68" s="356"/>
      <c r="AL68" s="356"/>
    </row>
    <row r="69" spans="1:38" ht="168" customHeight="1" thickBot="1">
      <c r="A69" s="239" t="s">
        <v>104</v>
      </c>
      <c r="B69" s="258" t="s">
        <v>247</v>
      </c>
      <c r="C69" s="247" t="s">
        <v>248</v>
      </c>
      <c r="D69" s="248" t="s">
        <v>249</v>
      </c>
      <c r="E69" s="253" t="s">
        <v>250</v>
      </c>
      <c r="F69" s="268" t="s">
        <v>495</v>
      </c>
      <c r="G69" s="268"/>
      <c r="H69" s="269" t="s">
        <v>31</v>
      </c>
      <c r="I69" s="270"/>
      <c r="J69" s="271" t="s">
        <v>832</v>
      </c>
      <c r="K69" s="271"/>
      <c r="L69" s="272"/>
      <c r="M69" s="269" t="s">
        <v>31</v>
      </c>
      <c r="N69" s="270"/>
      <c r="O69" s="273" t="s">
        <v>826</v>
      </c>
      <c r="P69" s="273" t="s">
        <v>827</v>
      </c>
      <c r="Q69" s="328"/>
      <c r="R69" s="269" t="s">
        <v>31</v>
      </c>
      <c r="S69" s="270"/>
      <c r="T69" s="337" t="s">
        <v>911</v>
      </c>
      <c r="U69" s="359"/>
      <c r="V69" s="361" t="s">
        <v>22</v>
      </c>
      <c r="W69" s="352"/>
      <c r="X69" s="363"/>
      <c r="Y69" s="354" t="s">
        <v>837</v>
      </c>
      <c r="Z69" s="354" t="s">
        <v>391</v>
      </c>
      <c r="AA69" s="354" t="s">
        <v>405</v>
      </c>
      <c r="AB69" s="354" t="s">
        <v>202</v>
      </c>
      <c r="AC69" s="354" t="s">
        <v>468</v>
      </c>
      <c r="AD69" s="354" t="s">
        <v>467</v>
      </c>
      <c r="AE69" s="354" t="s">
        <v>572</v>
      </c>
      <c r="AF69" s="355" t="s">
        <v>591</v>
      </c>
      <c r="AG69" s="355" t="s">
        <v>591</v>
      </c>
      <c r="AH69" s="355"/>
      <c r="AI69" s="355" t="s">
        <v>591</v>
      </c>
      <c r="AJ69" s="356">
        <v>19</v>
      </c>
      <c r="AK69" s="356"/>
      <c r="AL69" s="356"/>
    </row>
    <row r="70" spans="1:38" ht="168" customHeight="1" thickBot="1">
      <c r="A70" s="239" t="s">
        <v>104</v>
      </c>
      <c r="B70" s="258" t="s">
        <v>251</v>
      </c>
      <c r="C70" s="247" t="s">
        <v>248</v>
      </c>
      <c r="D70" s="248" t="s">
        <v>252</v>
      </c>
      <c r="E70" s="253" t="s">
        <v>250</v>
      </c>
      <c r="F70" s="268" t="s">
        <v>496</v>
      </c>
      <c r="G70" s="268"/>
      <c r="H70" s="269" t="s">
        <v>31</v>
      </c>
      <c r="I70" s="270"/>
      <c r="J70" s="271" t="s">
        <v>696</v>
      </c>
      <c r="K70" s="271"/>
      <c r="L70" s="272"/>
      <c r="M70" s="269" t="s">
        <v>31</v>
      </c>
      <c r="N70" s="270"/>
      <c r="O70" s="273" t="s">
        <v>725</v>
      </c>
      <c r="P70" s="273" t="s">
        <v>792</v>
      </c>
      <c r="Q70" s="328" t="s">
        <v>793</v>
      </c>
      <c r="R70" s="269" t="s">
        <v>31</v>
      </c>
      <c r="S70" s="270"/>
      <c r="T70" s="337" t="s">
        <v>912</v>
      </c>
      <c r="U70" s="359"/>
      <c r="V70" s="361" t="s">
        <v>22</v>
      </c>
      <c r="W70" s="352"/>
      <c r="X70" s="353"/>
      <c r="Y70" s="354" t="s">
        <v>837</v>
      </c>
      <c r="Z70" s="354" t="s">
        <v>391</v>
      </c>
      <c r="AA70" s="354" t="s">
        <v>405</v>
      </c>
      <c r="AB70" s="354" t="s">
        <v>202</v>
      </c>
      <c r="AC70" s="354" t="s">
        <v>468</v>
      </c>
      <c r="AD70" s="354" t="s">
        <v>572</v>
      </c>
      <c r="AE70" s="354"/>
      <c r="AF70" s="355" t="s">
        <v>591</v>
      </c>
      <c r="AG70" s="355" t="s">
        <v>591</v>
      </c>
      <c r="AH70" s="355"/>
      <c r="AI70" s="355"/>
      <c r="AJ70" s="356">
        <v>20</v>
      </c>
      <c r="AK70" s="356"/>
      <c r="AL70" s="356"/>
    </row>
    <row r="71" spans="1:38" ht="168" customHeight="1" thickBot="1">
      <c r="A71" s="239" t="s">
        <v>104</v>
      </c>
      <c r="B71" s="258" t="s">
        <v>287</v>
      </c>
      <c r="C71" s="247" t="s">
        <v>288</v>
      </c>
      <c r="D71" s="248" t="s">
        <v>289</v>
      </c>
      <c r="E71" s="249">
        <v>45170</v>
      </c>
      <c r="F71" s="268" t="s">
        <v>497</v>
      </c>
      <c r="G71" s="268"/>
      <c r="H71" s="269" t="s">
        <v>31</v>
      </c>
      <c r="I71" s="270"/>
      <c r="J71" s="271" t="s">
        <v>616</v>
      </c>
      <c r="K71" s="271"/>
      <c r="L71" s="272"/>
      <c r="M71" s="269" t="s">
        <v>31</v>
      </c>
      <c r="N71" s="278"/>
      <c r="O71" s="273" t="s">
        <v>794</v>
      </c>
      <c r="P71" s="273"/>
      <c r="Q71" s="328"/>
      <c r="R71" s="269" t="s">
        <v>22</v>
      </c>
      <c r="S71" s="270"/>
      <c r="T71" s="348" t="s">
        <v>859</v>
      </c>
      <c r="U71" s="359"/>
      <c r="V71" s="361" t="s">
        <v>22</v>
      </c>
      <c r="W71" s="362"/>
      <c r="X71" s="363"/>
      <c r="Y71" s="354" t="s">
        <v>837</v>
      </c>
      <c r="Z71" s="354" t="s">
        <v>396</v>
      </c>
      <c r="AA71" s="354" t="s">
        <v>407</v>
      </c>
      <c r="AB71" s="354" t="s">
        <v>202</v>
      </c>
      <c r="AC71" s="354" t="s">
        <v>468</v>
      </c>
      <c r="AD71" s="354"/>
      <c r="AE71" s="354"/>
      <c r="AF71" s="355" t="s">
        <v>591</v>
      </c>
      <c r="AG71" s="355"/>
      <c r="AH71" s="355"/>
      <c r="AI71" s="355"/>
      <c r="AJ71" s="356">
        <v>37</v>
      </c>
      <c r="AK71" s="356"/>
      <c r="AL71" s="356"/>
    </row>
    <row r="72" spans="1:38" ht="168" customHeight="1" thickBot="1">
      <c r="A72" s="239" t="s">
        <v>104</v>
      </c>
      <c r="B72" s="258" t="s">
        <v>293</v>
      </c>
      <c r="C72" s="247" t="s">
        <v>160</v>
      </c>
      <c r="D72" s="248" t="s">
        <v>161</v>
      </c>
      <c r="E72" s="253">
        <v>45108</v>
      </c>
      <c r="F72" s="268" t="s">
        <v>498</v>
      </c>
      <c r="G72" s="268"/>
      <c r="H72" s="269" t="s">
        <v>32</v>
      </c>
      <c r="I72" s="270" t="s">
        <v>565</v>
      </c>
      <c r="J72" s="344" t="s">
        <v>666</v>
      </c>
      <c r="K72" s="272"/>
      <c r="L72" s="272"/>
      <c r="M72" s="269" t="s">
        <v>26</v>
      </c>
      <c r="N72" s="270"/>
      <c r="O72" s="273" t="s">
        <v>848</v>
      </c>
      <c r="P72" s="273"/>
      <c r="Q72" s="273"/>
      <c r="R72" s="269" t="s">
        <v>26</v>
      </c>
      <c r="S72" s="270"/>
      <c r="T72" s="337" t="s">
        <v>933</v>
      </c>
      <c r="U72" s="359"/>
      <c r="V72" s="361" t="s">
        <v>26</v>
      </c>
      <c r="W72" s="352"/>
      <c r="X72" s="353"/>
      <c r="Y72" s="354" t="s">
        <v>837</v>
      </c>
      <c r="Z72" s="354" t="s">
        <v>397</v>
      </c>
      <c r="AA72" s="354" t="s">
        <v>412</v>
      </c>
      <c r="AB72" s="354" t="s">
        <v>202</v>
      </c>
      <c r="AC72" s="354" t="s">
        <v>467</v>
      </c>
      <c r="AD72" s="354"/>
      <c r="AE72" s="354"/>
      <c r="AF72" s="355"/>
      <c r="AG72" s="355"/>
      <c r="AH72" s="355"/>
      <c r="AI72" s="355" t="s">
        <v>591</v>
      </c>
      <c r="AJ72" s="356">
        <v>39</v>
      </c>
      <c r="AK72" s="356"/>
      <c r="AL72" s="356"/>
    </row>
    <row r="73" spans="1:38" ht="168" customHeight="1" thickBot="1">
      <c r="A73" s="239" t="s">
        <v>717</v>
      </c>
      <c r="B73" s="258" t="s">
        <v>456</v>
      </c>
      <c r="C73" s="247" t="s">
        <v>233</v>
      </c>
      <c r="D73" s="248" t="s">
        <v>459</v>
      </c>
      <c r="E73" s="249">
        <v>45200</v>
      </c>
      <c r="F73" s="268" t="s">
        <v>564</v>
      </c>
      <c r="G73" s="268"/>
      <c r="H73" s="269" t="s">
        <v>35</v>
      </c>
      <c r="I73" s="270"/>
      <c r="J73" s="271" t="s">
        <v>664</v>
      </c>
      <c r="K73" s="271"/>
      <c r="L73" s="272"/>
      <c r="M73" s="269" t="s">
        <v>31</v>
      </c>
      <c r="N73" s="270"/>
      <c r="O73" s="273" t="s">
        <v>795</v>
      </c>
      <c r="P73" s="273"/>
      <c r="Q73" s="328"/>
      <c r="R73" s="269" t="s">
        <v>22</v>
      </c>
      <c r="S73" s="270"/>
      <c r="T73" s="336" t="s">
        <v>919</v>
      </c>
      <c r="U73" s="357"/>
      <c r="V73" s="361" t="s">
        <v>22</v>
      </c>
      <c r="W73" s="358"/>
      <c r="X73" s="353"/>
      <c r="Y73" s="354" t="s">
        <v>833</v>
      </c>
      <c r="Z73" s="354" t="s">
        <v>387</v>
      </c>
      <c r="AA73" s="354" t="s">
        <v>404</v>
      </c>
      <c r="AB73" s="354" t="s">
        <v>109</v>
      </c>
      <c r="AC73" s="354" t="s">
        <v>201</v>
      </c>
      <c r="AD73" s="354" t="s">
        <v>467</v>
      </c>
      <c r="AE73" s="354"/>
      <c r="AF73" s="355"/>
      <c r="AG73" s="355"/>
      <c r="AH73" s="355" t="s">
        <v>591</v>
      </c>
      <c r="AI73" s="355"/>
      <c r="AJ73" s="356">
        <v>12</v>
      </c>
      <c r="AK73" s="356"/>
      <c r="AL73" s="356"/>
    </row>
    <row r="74" spans="1:38" ht="168" customHeight="1" thickBot="1">
      <c r="A74" s="239" t="s">
        <v>101</v>
      </c>
      <c r="B74" s="258" t="s">
        <v>262</v>
      </c>
      <c r="C74" s="247" t="s">
        <v>254</v>
      </c>
      <c r="D74" s="254" t="s">
        <v>408</v>
      </c>
      <c r="E74" s="253" t="s">
        <v>250</v>
      </c>
      <c r="F74" s="268" t="s">
        <v>553</v>
      </c>
      <c r="G74" s="268"/>
      <c r="H74" s="269" t="s">
        <v>35</v>
      </c>
      <c r="I74" s="270"/>
      <c r="J74" s="279" t="s">
        <v>697</v>
      </c>
      <c r="K74" s="271"/>
      <c r="L74" s="272"/>
      <c r="M74" s="269" t="s">
        <v>31</v>
      </c>
      <c r="N74" s="270"/>
      <c r="O74" s="273" t="s">
        <v>796</v>
      </c>
      <c r="P74" s="273"/>
      <c r="Q74" s="328"/>
      <c r="R74" s="269" t="s">
        <v>22</v>
      </c>
      <c r="S74" s="270"/>
      <c r="T74" s="346" t="s">
        <v>919</v>
      </c>
      <c r="U74" s="359"/>
      <c r="V74" s="361" t="s">
        <v>22</v>
      </c>
      <c r="W74" s="362"/>
      <c r="X74" s="353"/>
      <c r="Y74" s="354" t="s">
        <v>835</v>
      </c>
      <c r="Z74" s="354" t="s">
        <v>398</v>
      </c>
      <c r="AA74" s="354" t="s">
        <v>405</v>
      </c>
      <c r="AB74" s="354" t="s">
        <v>110</v>
      </c>
      <c r="AC74" s="354" t="s">
        <v>468</v>
      </c>
      <c r="AD74" s="354"/>
      <c r="AE74" s="354"/>
      <c r="AF74" s="355" t="s">
        <v>591</v>
      </c>
      <c r="AG74" s="355"/>
      <c r="AH74" s="355"/>
      <c r="AI74" s="355"/>
      <c r="AJ74" s="356">
        <v>25</v>
      </c>
      <c r="AK74" s="356"/>
      <c r="AL74" s="356"/>
    </row>
    <row r="75" spans="1:38" ht="168" customHeight="1" thickBot="1">
      <c r="A75" s="239" t="s">
        <v>101</v>
      </c>
      <c r="B75" s="258" t="s">
        <v>263</v>
      </c>
      <c r="C75" s="247" t="s">
        <v>254</v>
      </c>
      <c r="D75" s="248" t="s">
        <v>264</v>
      </c>
      <c r="E75" s="253" t="s">
        <v>250</v>
      </c>
      <c r="F75" s="268" t="s">
        <v>553</v>
      </c>
      <c r="G75" s="268"/>
      <c r="H75" s="269" t="s">
        <v>35</v>
      </c>
      <c r="I75" s="270"/>
      <c r="J75" s="271" t="s">
        <v>641</v>
      </c>
      <c r="K75" s="271"/>
      <c r="L75" s="272"/>
      <c r="M75" s="269" t="s">
        <v>31</v>
      </c>
      <c r="N75" s="270"/>
      <c r="O75" s="273" t="s">
        <v>797</v>
      </c>
      <c r="P75" s="273"/>
      <c r="Q75" s="328"/>
      <c r="R75" s="269" t="s">
        <v>22</v>
      </c>
      <c r="S75" s="270"/>
      <c r="T75" s="337" t="s">
        <v>919</v>
      </c>
      <c r="U75" s="359"/>
      <c r="V75" s="361" t="s">
        <v>22</v>
      </c>
      <c r="W75" s="362"/>
      <c r="X75" s="363"/>
      <c r="Y75" s="354" t="s">
        <v>835</v>
      </c>
      <c r="Z75" s="354" t="s">
        <v>398</v>
      </c>
      <c r="AA75" s="354" t="s">
        <v>405</v>
      </c>
      <c r="AB75" s="354" t="s">
        <v>110</v>
      </c>
      <c r="AC75" s="354" t="s">
        <v>468</v>
      </c>
      <c r="AD75" s="354"/>
      <c r="AE75" s="354"/>
      <c r="AF75" s="355" t="s">
        <v>591</v>
      </c>
      <c r="AG75" s="355"/>
      <c r="AH75" s="355"/>
      <c r="AI75" s="355"/>
      <c r="AJ75" s="356">
        <v>26</v>
      </c>
      <c r="AK75" s="356"/>
      <c r="AL75" s="356"/>
    </row>
    <row r="76" spans="1:38" ht="168" customHeight="1" thickBot="1">
      <c r="A76" s="239" t="s">
        <v>101</v>
      </c>
      <c r="B76" s="258" t="s">
        <v>268</v>
      </c>
      <c r="C76" s="247" t="s">
        <v>269</v>
      </c>
      <c r="D76" s="248" t="s">
        <v>270</v>
      </c>
      <c r="E76" s="253">
        <v>45352</v>
      </c>
      <c r="F76" s="268" t="s">
        <v>566</v>
      </c>
      <c r="G76" s="268"/>
      <c r="H76" s="269" t="s">
        <v>35</v>
      </c>
      <c r="I76" s="270"/>
      <c r="J76" s="276" t="s">
        <v>706</v>
      </c>
      <c r="K76" s="272"/>
      <c r="L76" s="272"/>
      <c r="M76" s="269" t="s">
        <v>30</v>
      </c>
      <c r="N76" s="270"/>
      <c r="O76" s="338" t="s">
        <v>791</v>
      </c>
      <c r="P76" s="273"/>
      <c r="Q76" s="328"/>
      <c r="R76" s="269" t="s">
        <v>30</v>
      </c>
      <c r="S76" s="270"/>
      <c r="T76" s="337" t="s">
        <v>791</v>
      </c>
      <c r="U76" s="359"/>
      <c r="V76" s="361" t="s">
        <v>30</v>
      </c>
      <c r="W76" s="362"/>
      <c r="X76" s="353"/>
      <c r="Y76" s="354" t="s">
        <v>394</v>
      </c>
      <c r="Z76" s="354" t="s">
        <v>395</v>
      </c>
      <c r="AA76" s="354" t="s">
        <v>406</v>
      </c>
      <c r="AB76" s="354" t="s">
        <v>109</v>
      </c>
      <c r="AC76" s="354" t="s">
        <v>201</v>
      </c>
      <c r="AD76" s="354"/>
      <c r="AE76" s="354"/>
      <c r="AF76" s="355"/>
      <c r="AG76" s="355"/>
      <c r="AH76" s="355" t="s">
        <v>591</v>
      </c>
      <c r="AI76" s="355"/>
      <c r="AJ76" s="356">
        <v>29</v>
      </c>
      <c r="AK76" s="356"/>
      <c r="AL76" s="356"/>
    </row>
    <row r="77" spans="1:38" ht="168" customHeight="1" thickBot="1">
      <c r="A77" s="239" t="s">
        <v>101</v>
      </c>
      <c r="B77" s="258" t="s">
        <v>295</v>
      </c>
      <c r="C77" s="247" t="s">
        <v>296</v>
      </c>
      <c r="D77" s="248" t="s">
        <v>132</v>
      </c>
      <c r="E77" s="249">
        <v>45108</v>
      </c>
      <c r="F77" s="268" t="s">
        <v>561</v>
      </c>
      <c r="G77" s="268"/>
      <c r="H77" s="269" t="s">
        <v>22</v>
      </c>
      <c r="I77" s="270"/>
      <c r="J77" s="271" t="s">
        <v>668</v>
      </c>
      <c r="K77" s="271"/>
      <c r="L77" s="272"/>
      <c r="M77" s="269" t="s">
        <v>22</v>
      </c>
      <c r="N77" s="270"/>
      <c r="O77" s="271" t="s">
        <v>668</v>
      </c>
      <c r="P77" s="273"/>
      <c r="Q77" s="328"/>
      <c r="R77" s="269" t="s">
        <v>22</v>
      </c>
      <c r="S77" s="270"/>
      <c r="T77" s="337" t="s">
        <v>920</v>
      </c>
      <c r="U77" s="359"/>
      <c r="V77" s="361" t="s">
        <v>22</v>
      </c>
      <c r="W77" s="362"/>
      <c r="X77" s="353"/>
      <c r="Y77" s="354" t="s">
        <v>835</v>
      </c>
      <c r="Z77" s="354" t="s">
        <v>398</v>
      </c>
      <c r="AA77" s="354" t="s">
        <v>412</v>
      </c>
      <c r="AB77" s="354" t="s">
        <v>202</v>
      </c>
      <c r="AC77" s="354" t="s">
        <v>201</v>
      </c>
      <c r="AD77" s="354"/>
      <c r="AE77" s="354"/>
      <c r="AF77" s="355"/>
      <c r="AG77" s="355"/>
      <c r="AH77" s="355" t="s">
        <v>591</v>
      </c>
      <c r="AI77" s="355"/>
      <c r="AJ77" s="356">
        <v>41</v>
      </c>
      <c r="AK77" s="356"/>
      <c r="AL77" s="356"/>
    </row>
    <row r="78" spans="1:38" ht="168" customHeight="1" thickBot="1">
      <c r="A78" s="239" t="s">
        <v>101</v>
      </c>
      <c r="B78" s="258" t="s">
        <v>297</v>
      </c>
      <c r="C78" s="247" t="s">
        <v>296</v>
      </c>
      <c r="D78" s="248" t="s">
        <v>298</v>
      </c>
      <c r="E78" s="249">
        <v>45352</v>
      </c>
      <c r="F78" s="268" t="s">
        <v>554</v>
      </c>
      <c r="G78" s="268"/>
      <c r="H78" s="269" t="s">
        <v>31</v>
      </c>
      <c r="I78" s="270"/>
      <c r="J78" s="271" t="s">
        <v>667</v>
      </c>
      <c r="K78" s="271"/>
      <c r="L78" s="272"/>
      <c r="M78" s="269" t="s">
        <v>22</v>
      </c>
      <c r="N78" s="270"/>
      <c r="O78" s="344" t="s">
        <v>667</v>
      </c>
      <c r="P78" s="273"/>
      <c r="Q78" s="328"/>
      <c r="R78" s="269" t="s">
        <v>22</v>
      </c>
      <c r="S78" s="270"/>
      <c r="T78" s="337" t="s">
        <v>667</v>
      </c>
      <c r="U78" s="359"/>
      <c r="V78" s="361" t="s">
        <v>22</v>
      </c>
      <c r="W78" s="362"/>
      <c r="X78" s="363"/>
      <c r="Y78" s="354" t="s">
        <v>835</v>
      </c>
      <c r="Z78" s="354" t="s">
        <v>398</v>
      </c>
      <c r="AA78" s="354" t="s">
        <v>412</v>
      </c>
      <c r="AB78" s="354" t="s">
        <v>202</v>
      </c>
      <c r="AC78" s="354" t="s">
        <v>201</v>
      </c>
      <c r="AD78" s="354"/>
      <c r="AE78" s="354"/>
      <c r="AF78" s="355"/>
      <c r="AG78" s="355"/>
      <c r="AH78" s="355" t="s">
        <v>591</v>
      </c>
      <c r="AI78" s="355"/>
      <c r="AJ78" s="356">
        <v>42</v>
      </c>
      <c r="AK78" s="356"/>
      <c r="AL78" s="356"/>
    </row>
    <row r="79" spans="1:38" ht="168" customHeight="1" thickBot="1">
      <c r="A79" s="239" t="s">
        <v>101</v>
      </c>
      <c r="B79" s="258" t="s">
        <v>299</v>
      </c>
      <c r="C79" s="247" t="s">
        <v>296</v>
      </c>
      <c r="D79" s="248" t="s">
        <v>131</v>
      </c>
      <c r="E79" s="249">
        <v>45078</v>
      </c>
      <c r="F79" s="291" t="s">
        <v>555</v>
      </c>
      <c r="G79" s="290"/>
      <c r="H79" s="269" t="s">
        <v>22</v>
      </c>
      <c r="I79" s="270"/>
      <c r="J79" s="305" t="s">
        <v>668</v>
      </c>
      <c r="K79" s="271"/>
      <c r="L79" s="272"/>
      <c r="M79" s="269" t="s">
        <v>22</v>
      </c>
      <c r="N79" s="282"/>
      <c r="O79" s="305" t="s">
        <v>668</v>
      </c>
      <c r="P79" s="273"/>
      <c r="Q79" s="268"/>
      <c r="R79" s="269" t="s">
        <v>22</v>
      </c>
      <c r="S79" s="270"/>
      <c r="T79" s="375" t="s">
        <v>920</v>
      </c>
      <c r="U79" s="376"/>
      <c r="V79" s="361" t="s">
        <v>22</v>
      </c>
      <c r="W79" s="367"/>
      <c r="X79" s="363"/>
      <c r="Y79" s="354" t="s">
        <v>835</v>
      </c>
      <c r="Z79" s="354" t="s">
        <v>398</v>
      </c>
      <c r="AA79" s="354" t="s">
        <v>412</v>
      </c>
      <c r="AB79" s="354" t="s">
        <v>202</v>
      </c>
      <c r="AC79" s="354" t="s">
        <v>201</v>
      </c>
      <c r="AD79" s="354"/>
      <c r="AE79" s="354"/>
      <c r="AF79" s="355"/>
      <c r="AG79" s="355"/>
      <c r="AH79" s="355" t="s">
        <v>591</v>
      </c>
      <c r="AI79" s="355"/>
      <c r="AJ79" s="356">
        <v>43</v>
      </c>
      <c r="AK79" s="356"/>
      <c r="AL79" s="356"/>
    </row>
    <row r="80" spans="1:38" ht="168" customHeight="1" thickBot="1">
      <c r="A80" s="239" t="s">
        <v>101</v>
      </c>
      <c r="B80" s="258" t="s">
        <v>310</v>
      </c>
      <c r="C80" s="247" t="s">
        <v>91</v>
      </c>
      <c r="D80" s="248" t="s">
        <v>130</v>
      </c>
      <c r="E80" s="249">
        <v>45352</v>
      </c>
      <c r="F80" s="268" t="s">
        <v>556</v>
      </c>
      <c r="G80" s="268"/>
      <c r="H80" s="269" t="s">
        <v>35</v>
      </c>
      <c r="I80" s="270"/>
      <c r="J80" s="276" t="s">
        <v>670</v>
      </c>
      <c r="K80" s="277"/>
      <c r="L80" s="277"/>
      <c r="M80" s="269" t="s">
        <v>31</v>
      </c>
      <c r="N80" s="278"/>
      <c r="O80" s="338" t="s">
        <v>798</v>
      </c>
      <c r="P80" s="273"/>
      <c r="Q80" s="328"/>
      <c r="R80" s="269" t="s">
        <v>22</v>
      </c>
      <c r="S80" s="278"/>
      <c r="T80" s="336" t="s">
        <v>798</v>
      </c>
      <c r="U80" s="357"/>
      <c r="V80" s="361" t="s">
        <v>22</v>
      </c>
      <c r="W80" s="358"/>
      <c r="X80" s="363"/>
      <c r="Y80" s="354" t="s">
        <v>835</v>
      </c>
      <c r="Z80" s="354" t="s">
        <v>398</v>
      </c>
      <c r="AA80" s="354" t="s">
        <v>412</v>
      </c>
      <c r="AB80" s="354" t="s">
        <v>110</v>
      </c>
      <c r="AC80" s="354" t="s">
        <v>468</v>
      </c>
      <c r="AD80" s="354"/>
      <c r="AE80" s="354"/>
      <c r="AF80" s="355" t="s">
        <v>591</v>
      </c>
      <c r="AG80" s="355"/>
      <c r="AH80" s="355"/>
      <c r="AI80" s="355"/>
      <c r="AJ80" s="356">
        <v>54</v>
      </c>
      <c r="AK80" s="356"/>
      <c r="AL80" s="356"/>
    </row>
    <row r="81" spans="1:38" ht="168" customHeight="1" thickBot="1">
      <c r="A81" s="239" t="s">
        <v>101</v>
      </c>
      <c r="B81" s="258" t="s">
        <v>312</v>
      </c>
      <c r="C81" s="247" t="s">
        <v>91</v>
      </c>
      <c r="D81" s="248" t="s">
        <v>149</v>
      </c>
      <c r="E81" s="249">
        <v>45170</v>
      </c>
      <c r="F81" s="268" t="s">
        <v>557</v>
      </c>
      <c r="G81" s="268"/>
      <c r="H81" s="269" t="s">
        <v>35</v>
      </c>
      <c r="I81" s="270"/>
      <c r="J81" s="276" t="s">
        <v>669</v>
      </c>
      <c r="K81" s="276"/>
      <c r="L81" s="277"/>
      <c r="M81" s="269" t="s">
        <v>22</v>
      </c>
      <c r="N81" s="278"/>
      <c r="O81" s="276" t="s">
        <v>772</v>
      </c>
      <c r="P81" s="273"/>
      <c r="Q81" s="328"/>
      <c r="R81" s="269" t="s">
        <v>22</v>
      </c>
      <c r="S81" s="278"/>
      <c r="T81" s="336" t="s">
        <v>772</v>
      </c>
      <c r="U81" s="357"/>
      <c r="V81" s="361" t="s">
        <v>22</v>
      </c>
      <c r="W81" s="358"/>
      <c r="X81" s="363"/>
      <c r="Y81" s="354" t="s">
        <v>835</v>
      </c>
      <c r="Z81" s="354" t="s">
        <v>398</v>
      </c>
      <c r="AA81" s="354" t="s">
        <v>412</v>
      </c>
      <c r="AB81" s="354" t="s">
        <v>110</v>
      </c>
      <c r="AC81" s="354" t="s">
        <v>468</v>
      </c>
      <c r="AD81" s="354" t="s">
        <v>201</v>
      </c>
      <c r="AE81" s="354"/>
      <c r="AF81" s="355" t="s">
        <v>591</v>
      </c>
      <c r="AG81" s="355"/>
      <c r="AH81" s="355" t="s">
        <v>591</v>
      </c>
      <c r="AI81" s="355"/>
      <c r="AJ81" s="356">
        <v>56</v>
      </c>
      <c r="AK81" s="356"/>
      <c r="AL81" s="356"/>
    </row>
    <row r="82" spans="1:38" ht="168" customHeight="1" thickBot="1">
      <c r="A82" s="239" t="s">
        <v>101</v>
      </c>
      <c r="B82" s="258" t="s">
        <v>313</v>
      </c>
      <c r="C82" s="247" t="s">
        <v>91</v>
      </c>
      <c r="D82" s="248" t="s">
        <v>150</v>
      </c>
      <c r="E82" s="249">
        <v>45170</v>
      </c>
      <c r="F82" s="268" t="s">
        <v>558</v>
      </c>
      <c r="G82" s="268"/>
      <c r="H82" s="269" t="s">
        <v>22</v>
      </c>
      <c r="I82" s="270"/>
      <c r="J82" s="276" t="s">
        <v>558</v>
      </c>
      <c r="K82" s="271"/>
      <c r="L82" s="272"/>
      <c r="M82" s="269" t="s">
        <v>22</v>
      </c>
      <c r="N82" s="278"/>
      <c r="O82" s="276" t="s">
        <v>772</v>
      </c>
      <c r="P82" s="273"/>
      <c r="Q82" s="328"/>
      <c r="R82" s="269" t="s">
        <v>22</v>
      </c>
      <c r="S82" s="278"/>
      <c r="T82" s="336" t="s">
        <v>772</v>
      </c>
      <c r="U82" s="357"/>
      <c r="V82" s="361" t="s">
        <v>22</v>
      </c>
      <c r="W82" s="358"/>
      <c r="X82" s="363"/>
      <c r="Y82" s="354" t="s">
        <v>835</v>
      </c>
      <c r="Z82" s="354" t="s">
        <v>398</v>
      </c>
      <c r="AA82" s="354" t="s">
        <v>412</v>
      </c>
      <c r="AB82" s="354" t="s">
        <v>110</v>
      </c>
      <c r="AC82" s="354" t="s">
        <v>468</v>
      </c>
      <c r="AD82" s="354" t="s">
        <v>201</v>
      </c>
      <c r="AE82" s="354"/>
      <c r="AF82" s="355" t="s">
        <v>591</v>
      </c>
      <c r="AG82" s="355"/>
      <c r="AH82" s="355" t="s">
        <v>591</v>
      </c>
      <c r="AI82" s="355"/>
      <c r="AJ82" s="356">
        <v>57</v>
      </c>
      <c r="AK82" s="356"/>
      <c r="AL82" s="356"/>
    </row>
    <row r="83" spans="1:38" ht="168" customHeight="1" thickBot="1">
      <c r="A83" s="239" t="s">
        <v>101</v>
      </c>
      <c r="B83" s="258" t="s">
        <v>314</v>
      </c>
      <c r="C83" s="247" t="s">
        <v>91</v>
      </c>
      <c r="D83" s="248" t="s">
        <v>151</v>
      </c>
      <c r="E83" s="249">
        <v>45200</v>
      </c>
      <c r="F83" s="268" t="s">
        <v>557</v>
      </c>
      <c r="G83" s="268"/>
      <c r="H83" s="269" t="s">
        <v>35</v>
      </c>
      <c r="I83" s="270"/>
      <c r="J83" s="276" t="s">
        <v>671</v>
      </c>
      <c r="K83" s="276"/>
      <c r="L83" s="277"/>
      <c r="M83" s="269" t="s">
        <v>22</v>
      </c>
      <c r="N83" s="278"/>
      <c r="O83" s="276" t="s">
        <v>772</v>
      </c>
      <c r="P83" s="273"/>
      <c r="Q83" s="328"/>
      <c r="R83" s="269" t="s">
        <v>22</v>
      </c>
      <c r="S83" s="278"/>
      <c r="T83" s="384" t="s">
        <v>772</v>
      </c>
      <c r="U83" s="336"/>
      <c r="V83" s="361" t="s">
        <v>22</v>
      </c>
      <c r="W83" s="358"/>
      <c r="X83" s="353"/>
      <c r="Y83" s="354" t="s">
        <v>835</v>
      </c>
      <c r="Z83" s="354" t="s">
        <v>398</v>
      </c>
      <c r="AA83" s="354" t="s">
        <v>412</v>
      </c>
      <c r="AB83" s="354" t="s">
        <v>110</v>
      </c>
      <c r="AC83" s="354" t="s">
        <v>468</v>
      </c>
      <c r="AD83" s="354"/>
      <c r="AE83" s="354"/>
      <c r="AF83" s="355" t="s">
        <v>591</v>
      </c>
      <c r="AG83" s="355"/>
      <c r="AH83" s="355"/>
      <c r="AI83" s="355"/>
      <c r="AJ83" s="356">
        <v>58</v>
      </c>
      <c r="AK83" s="356"/>
      <c r="AL83" s="356"/>
    </row>
    <row r="84" spans="1:38" ht="168" customHeight="1" thickBot="1">
      <c r="A84" s="239" t="s">
        <v>101</v>
      </c>
      <c r="B84" s="258" t="s">
        <v>315</v>
      </c>
      <c r="C84" s="247" t="s">
        <v>91</v>
      </c>
      <c r="D84" s="248" t="s">
        <v>175</v>
      </c>
      <c r="E84" s="249">
        <v>45261</v>
      </c>
      <c r="F84" s="268" t="s">
        <v>562</v>
      </c>
      <c r="G84" s="268"/>
      <c r="H84" s="269" t="s">
        <v>31</v>
      </c>
      <c r="I84" s="270"/>
      <c r="J84" s="276" t="s">
        <v>672</v>
      </c>
      <c r="K84" s="276"/>
      <c r="L84" s="277"/>
      <c r="M84" s="269" t="s">
        <v>31</v>
      </c>
      <c r="N84" s="278"/>
      <c r="O84" s="273" t="s">
        <v>799</v>
      </c>
      <c r="P84" s="273"/>
      <c r="Q84" s="328"/>
      <c r="R84" s="269" t="s">
        <v>22</v>
      </c>
      <c r="S84" s="278"/>
      <c r="T84" s="336" t="s">
        <v>921</v>
      </c>
      <c r="U84" s="336"/>
      <c r="V84" s="361" t="s">
        <v>22</v>
      </c>
      <c r="W84" s="358"/>
      <c r="X84" s="363"/>
      <c r="Y84" s="354" t="s">
        <v>835</v>
      </c>
      <c r="Z84" s="354" t="s">
        <v>398</v>
      </c>
      <c r="AA84" s="354" t="s">
        <v>412</v>
      </c>
      <c r="AB84" s="354" t="s">
        <v>110</v>
      </c>
      <c r="AC84" s="354" t="s">
        <v>468</v>
      </c>
      <c r="AD84" s="354"/>
      <c r="AE84" s="354"/>
      <c r="AF84" s="355" t="s">
        <v>591</v>
      </c>
      <c r="AG84" s="355"/>
      <c r="AH84" s="355"/>
      <c r="AI84" s="355"/>
      <c r="AJ84" s="356">
        <v>59</v>
      </c>
      <c r="AK84" s="356"/>
      <c r="AL84" s="356"/>
    </row>
    <row r="85" spans="1:38" ht="168" customHeight="1" thickBot="1">
      <c r="A85" s="239" t="s">
        <v>101</v>
      </c>
      <c r="B85" s="258" t="s">
        <v>316</v>
      </c>
      <c r="C85" s="247" t="s">
        <v>127</v>
      </c>
      <c r="D85" s="248" t="s">
        <v>128</v>
      </c>
      <c r="E85" s="249">
        <v>45352</v>
      </c>
      <c r="F85" s="268"/>
      <c r="G85" s="268"/>
      <c r="H85" s="269" t="s">
        <v>35</v>
      </c>
      <c r="I85" s="270"/>
      <c r="J85" s="276"/>
      <c r="K85" s="276"/>
      <c r="L85" s="277"/>
      <c r="M85" s="269" t="s">
        <v>35</v>
      </c>
      <c r="N85" s="278"/>
      <c r="O85" s="273"/>
      <c r="P85" s="273"/>
      <c r="Q85" s="328"/>
      <c r="R85" s="269" t="s">
        <v>35</v>
      </c>
      <c r="S85" s="278"/>
      <c r="T85" s="336" t="s">
        <v>909</v>
      </c>
      <c r="U85" s="336"/>
      <c r="V85" s="361" t="s">
        <v>22</v>
      </c>
      <c r="W85" s="358"/>
      <c r="X85" s="353"/>
      <c r="Y85" s="354" t="s">
        <v>835</v>
      </c>
      <c r="Z85" s="354" t="s">
        <v>398</v>
      </c>
      <c r="AA85" s="354" t="s">
        <v>412</v>
      </c>
      <c r="AB85" s="354" t="s">
        <v>110</v>
      </c>
      <c r="AC85" s="354" t="s">
        <v>468</v>
      </c>
      <c r="AD85" s="354"/>
      <c r="AE85" s="354"/>
      <c r="AF85" s="355" t="s">
        <v>591</v>
      </c>
      <c r="AG85" s="355"/>
      <c r="AH85" s="355"/>
      <c r="AI85" s="355"/>
      <c r="AJ85" s="356">
        <v>60</v>
      </c>
      <c r="AK85" s="356"/>
      <c r="AL85" s="356"/>
    </row>
    <row r="86" spans="1:38" ht="168" customHeight="1" thickBot="1">
      <c r="A86" s="239" t="s">
        <v>101</v>
      </c>
      <c r="B86" s="258" t="s">
        <v>317</v>
      </c>
      <c r="C86" s="247" t="s">
        <v>127</v>
      </c>
      <c r="D86" s="248" t="s">
        <v>129</v>
      </c>
      <c r="E86" s="249">
        <v>45352</v>
      </c>
      <c r="F86" s="268" t="s">
        <v>563</v>
      </c>
      <c r="G86" s="268"/>
      <c r="H86" s="269" t="s">
        <v>31</v>
      </c>
      <c r="I86" s="270"/>
      <c r="J86" s="276" t="s">
        <v>642</v>
      </c>
      <c r="K86" s="276"/>
      <c r="L86" s="277"/>
      <c r="M86" s="269" t="s">
        <v>31</v>
      </c>
      <c r="N86" s="307"/>
      <c r="O86" s="338" t="s">
        <v>800</v>
      </c>
      <c r="P86" s="273"/>
      <c r="Q86" s="328"/>
      <c r="R86" s="269" t="s">
        <v>22</v>
      </c>
      <c r="S86" s="278"/>
      <c r="T86" s="384" t="s">
        <v>924</v>
      </c>
      <c r="U86" s="336"/>
      <c r="V86" s="361" t="s">
        <v>22</v>
      </c>
      <c r="W86" s="358"/>
      <c r="X86" s="363"/>
      <c r="Y86" s="354" t="s">
        <v>835</v>
      </c>
      <c r="Z86" s="354" t="s">
        <v>398</v>
      </c>
      <c r="AA86" s="354" t="s">
        <v>412</v>
      </c>
      <c r="AB86" s="354" t="s">
        <v>110</v>
      </c>
      <c r="AC86" s="354" t="s">
        <v>468</v>
      </c>
      <c r="AD86" s="354" t="s">
        <v>572</v>
      </c>
      <c r="AE86" s="354"/>
      <c r="AF86" s="355" t="s">
        <v>591</v>
      </c>
      <c r="AG86" s="355" t="s">
        <v>591</v>
      </c>
      <c r="AH86" s="355"/>
      <c r="AI86" s="355"/>
      <c r="AJ86" s="356">
        <v>61</v>
      </c>
      <c r="AK86" s="356"/>
      <c r="AL86" s="356"/>
    </row>
    <row r="87" spans="1:38" ht="168" customHeight="1" thickBot="1">
      <c r="A87" s="239" t="s">
        <v>101</v>
      </c>
      <c r="B87" s="258" t="s">
        <v>318</v>
      </c>
      <c r="C87" s="247" t="s">
        <v>127</v>
      </c>
      <c r="D87" s="248" t="s">
        <v>174</v>
      </c>
      <c r="E87" s="255" t="s">
        <v>319</v>
      </c>
      <c r="F87" s="268" t="s">
        <v>559</v>
      </c>
      <c r="G87" s="268"/>
      <c r="H87" s="269" t="s">
        <v>31</v>
      </c>
      <c r="I87" s="270"/>
      <c r="J87" s="271" t="s">
        <v>673</v>
      </c>
      <c r="K87" s="284"/>
      <c r="L87" s="304"/>
      <c r="M87" s="269" t="s">
        <v>31</v>
      </c>
      <c r="N87" s="270"/>
      <c r="O87" s="344" t="s">
        <v>922</v>
      </c>
      <c r="P87" s="273"/>
      <c r="Q87" s="328"/>
      <c r="R87" s="269" t="s">
        <v>31</v>
      </c>
      <c r="S87" s="270"/>
      <c r="T87" s="385" t="s">
        <v>910</v>
      </c>
      <c r="U87" s="386"/>
      <c r="V87" s="361" t="s">
        <v>22</v>
      </c>
      <c r="W87" s="362"/>
      <c r="X87" s="363"/>
      <c r="Y87" s="354" t="s">
        <v>835</v>
      </c>
      <c r="Z87" s="354" t="s">
        <v>398</v>
      </c>
      <c r="AA87" s="354" t="s">
        <v>412</v>
      </c>
      <c r="AB87" s="354" t="s">
        <v>110</v>
      </c>
      <c r="AC87" s="354" t="s">
        <v>467</v>
      </c>
      <c r="AD87" s="354" t="s">
        <v>468</v>
      </c>
      <c r="AE87" s="354"/>
      <c r="AF87" s="355" t="s">
        <v>591</v>
      </c>
      <c r="AG87" s="355"/>
      <c r="AH87" s="355"/>
      <c r="AI87" s="355" t="s">
        <v>591</v>
      </c>
      <c r="AJ87" s="356">
        <v>62</v>
      </c>
      <c r="AK87" s="356"/>
      <c r="AL87" s="356"/>
    </row>
    <row r="88" spans="1:38" ht="168" customHeight="1" thickBot="1">
      <c r="A88" s="239" t="s">
        <v>101</v>
      </c>
      <c r="B88" s="258" t="s">
        <v>329</v>
      </c>
      <c r="C88" s="247" t="s">
        <v>182</v>
      </c>
      <c r="D88" s="248" t="s">
        <v>183</v>
      </c>
      <c r="E88" s="249">
        <v>45200</v>
      </c>
      <c r="F88" s="268"/>
      <c r="G88" s="268"/>
      <c r="H88" s="269" t="s">
        <v>35</v>
      </c>
      <c r="I88" s="270"/>
      <c r="J88" s="271" t="s">
        <v>643</v>
      </c>
      <c r="K88" s="271"/>
      <c r="L88" s="272"/>
      <c r="M88" s="269" t="s">
        <v>26</v>
      </c>
      <c r="N88" s="270"/>
      <c r="O88" s="338" t="s">
        <v>849</v>
      </c>
      <c r="P88" s="273"/>
      <c r="Q88" s="328"/>
      <c r="R88" s="269" t="s">
        <v>33</v>
      </c>
      <c r="S88" s="270"/>
      <c r="T88" s="337" t="s">
        <v>924</v>
      </c>
      <c r="U88" s="364"/>
      <c r="V88" s="361" t="s">
        <v>27</v>
      </c>
      <c r="W88" s="362"/>
      <c r="X88" s="353"/>
      <c r="Y88" s="354" t="s">
        <v>835</v>
      </c>
      <c r="Z88" s="354" t="s">
        <v>398</v>
      </c>
      <c r="AA88" s="354" t="s">
        <v>412</v>
      </c>
      <c r="AB88" s="354" t="s">
        <v>110</v>
      </c>
      <c r="AC88" s="354" t="s">
        <v>467</v>
      </c>
      <c r="AD88" s="354"/>
      <c r="AE88" s="354"/>
      <c r="AF88" s="355"/>
      <c r="AG88" s="355"/>
      <c r="AH88" s="355"/>
      <c r="AI88" s="355" t="s">
        <v>591</v>
      </c>
      <c r="AJ88" s="356">
        <v>76</v>
      </c>
      <c r="AK88" s="356"/>
      <c r="AL88" s="356"/>
    </row>
    <row r="89" spans="1:38" ht="168" customHeight="1" thickBot="1">
      <c r="A89" s="239" t="s">
        <v>101</v>
      </c>
      <c r="B89" s="258" t="s">
        <v>330</v>
      </c>
      <c r="C89" s="247" t="s">
        <v>143</v>
      </c>
      <c r="D89" s="248" t="s">
        <v>674</v>
      </c>
      <c r="E89" s="249">
        <v>45170</v>
      </c>
      <c r="F89" s="268" t="s">
        <v>560</v>
      </c>
      <c r="G89" s="268"/>
      <c r="H89" s="269" t="s">
        <v>31</v>
      </c>
      <c r="I89" s="287"/>
      <c r="J89" s="279" t="s">
        <v>644</v>
      </c>
      <c r="K89" s="271"/>
      <c r="L89" s="272"/>
      <c r="M89" s="269" t="s">
        <v>22</v>
      </c>
      <c r="N89" s="270"/>
      <c r="O89" s="279" t="s">
        <v>801</v>
      </c>
      <c r="P89" s="273"/>
      <c r="Q89" s="328"/>
      <c r="R89" s="269" t="s">
        <v>22</v>
      </c>
      <c r="S89" s="270"/>
      <c r="T89" s="384" t="s">
        <v>772</v>
      </c>
      <c r="U89" s="359"/>
      <c r="V89" s="361" t="s">
        <v>22</v>
      </c>
      <c r="W89" s="362"/>
      <c r="X89" s="363"/>
      <c r="Y89" s="354" t="s">
        <v>835</v>
      </c>
      <c r="Z89" s="354" t="s">
        <v>398</v>
      </c>
      <c r="AA89" s="354" t="s">
        <v>412</v>
      </c>
      <c r="AB89" s="354" t="s">
        <v>109</v>
      </c>
      <c r="AC89" s="354" t="s">
        <v>467</v>
      </c>
      <c r="AD89" s="354"/>
      <c r="AE89" s="354"/>
      <c r="AF89" s="355"/>
      <c r="AG89" s="355"/>
      <c r="AH89" s="355"/>
      <c r="AI89" s="355" t="s">
        <v>591</v>
      </c>
      <c r="AJ89" s="356">
        <v>77</v>
      </c>
      <c r="AK89" s="356"/>
      <c r="AL89" s="356"/>
    </row>
    <row r="90" spans="1:38" ht="168" customHeight="1" thickBot="1">
      <c r="A90" s="239" t="s">
        <v>103</v>
      </c>
      <c r="B90" s="258" t="s">
        <v>234</v>
      </c>
      <c r="C90" s="247" t="s">
        <v>235</v>
      </c>
      <c r="D90" s="248" t="s">
        <v>236</v>
      </c>
      <c r="E90" s="249">
        <v>45261</v>
      </c>
      <c r="F90" s="268" t="s">
        <v>501</v>
      </c>
      <c r="G90" s="268"/>
      <c r="H90" s="269" t="s">
        <v>31</v>
      </c>
      <c r="I90" s="270"/>
      <c r="J90" s="344" t="s">
        <v>501</v>
      </c>
      <c r="K90" s="276"/>
      <c r="L90" s="277"/>
      <c r="M90" s="269" t="s">
        <v>31</v>
      </c>
      <c r="N90" s="278"/>
      <c r="O90" s="273" t="s">
        <v>802</v>
      </c>
      <c r="P90" s="273"/>
      <c r="Q90" s="328"/>
      <c r="R90" s="269" t="s">
        <v>22</v>
      </c>
      <c r="S90" s="278"/>
      <c r="T90" s="336" t="s">
        <v>921</v>
      </c>
      <c r="U90" s="357"/>
      <c r="V90" s="361" t="s">
        <v>22</v>
      </c>
      <c r="W90" s="358"/>
      <c r="X90" s="363"/>
      <c r="Y90" s="354" t="s">
        <v>201</v>
      </c>
      <c r="Z90" s="354" t="s">
        <v>388</v>
      </c>
      <c r="AA90" s="354" t="s">
        <v>404</v>
      </c>
      <c r="AB90" s="354" t="s">
        <v>201</v>
      </c>
      <c r="AC90" s="354" t="s">
        <v>201</v>
      </c>
      <c r="AD90" s="354"/>
      <c r="AE90" s="354"/>
      <c r="AF90" s="355"/>
      <c r="AG90" s="355"/>
      <c r="AH90" s="355" t="s">
        <v>591</v>
      </c>
      <c r="AI90" s="355"/>
      <c r="AJ90" s="356">
        <v>14</v>
      </c>
      <c r="AK90" s="356"/>
      <c r="AL90" s="356"/>
    </row>
    <row r="91" spans="1:38" ht="168" customHeight="1" thickBot="1">
      <c r="A91" s="239" t="s">
        <v>103</v>
      </c>
      <c r="B91" s="258" t="s">
        <v>260</v>
      </c>
      <c r="C91" s="247" t="s">
        <v>254</v>
      </c>
      <c r="D91" s="248" t="s">
        <v>261</v>
      </c>
      <c r="E91" s="253" t="s">
        <v>250</v>
      </c>
      <c r="F91" s="268"/>
      <c r="G91" s="268"/>
      <c r="H91" s="269" t="s">
        <v>35</v>
      </c>
      <c r="I91" s="270"/>
      <c r="J91" s="271"/>
      <c r="K91" s="271"/>
      <c r="L91" s="272"/>
      <c r="M91" s="269" t="s">
        <v>31</v>
      </c>
      <c r="N91" s="270"/>
      <c r="O91" s="271" t="s">
        <v>803</v>
      </c>
      <c r="P91" s="273"/>
      <c r="Q91" s="328"/>
      <c r="R91" s="269" t="s">
        <v>22</v>
      </c>
      <c r="S91" s="270"/>
      <c r="T91" s="337" t="s">
        <v>921</v>
      </c>
      <c r="U91" s="359"/>
      <c r="V91" s="361" t="s">
        <v>22</v>
      </c>
      <c r="W91" s="362"/>
      <c r="X91" s="363"/>
      <c r="Y91" s="354" t="s">
        <v>201</v>
      </c>
      <c r="Z91" s="354" t="s">
        <v>392</v>
      </c>
      <c r="AA91" s="354" t="s">
        <v>405</v>
      </c>
      <c r="AB91" s="354" t="s">
        <v>110</v>
      </c>
      <c r="AC91" s="354" t="s">
        <v>468</v>
      </c>
      <c r="AD91" s="354" t="s">
        <v>201</v>
      </c>
      <c r="AE91" s="354"/>
      <c r="AF91" s="355" t="s">
        <v>591</v>
      </c>
      <c r="AG91" s="355"/>
      <c r="AH91" s="355" t="s">
        <v>591</v>
      </c>
      <c r="AI91" s="355"/>
      <c r="AJ91" s="356">
        <v>24</v>
      </c>
      <c r="AK91" s="356"/>
      <c r="AL91" s="356"/>
    </row>
    <row r="92" spans="1:38" ht="168" customHeight="1" thickBot="1">
      <c r="A92" s="239" t="s">
        <v>103</v>
      </c>
      <c r="B92" s="258" t="s">
        <v>366</v>
      </c>
      <c r="C92" s="247" t="s">
        <v>90</v>
      </c>
      <c r="D92" s="248" t="s">
        <v>187</v>
      </c>
      <c r="E92" s="249">
        <v>45231</v>
      </c>
      <c r="F92" s="288" t="s">
        <v>502</v>
      </c>
      <c r="G92" s="288"/>
      <c r="H92" s="269" t="s">
        <v>31</v>
      </c>
      <c r="I92" s="270"/>
      <c r="J92" s="289"/>
      <c r="K92" s="289"/>
      <c r="L92" s="288"/>
      <c r="M92" s="269" t="s">
        <v>31</v>
      </c>
      <c r="N92" s="270"/>
      <c r="O92" s="273" t="s">
        <v>754</v>
      </c>
      <c r="P92" s="273"/>
      <c r="Q92" s="328"/>
      <c r="R92" s="269" t="s">
        <v>22</v>
      </c>
      <c r="S92" s="278"/>
      <c r="T92" s="375" t="s">
        <v>921</v>
      </c>
      <c r="U92" s="387"/>
      <c r="V92" s="361" t="s">
        <v>22</v>
      </c>
      <c r="W92" s="358"/>
      <c r="X92" s="363"/>
      <c r="Y92" s="354" t="s">
        <v>201</v>
      </c>
      <c r="Z92" s="354" t="s">
        <v>388</v>
      </c>
      <c r="AA92" s="354" t="s">
        <v>412</v>
      </c>
      <c r="AB92" s="354" t="s">
        <v>201</v>
      </c>
      <c r="AC92" s="354" t="s">
        <v>467</v>
      </c>
      <c r="AD92" s="354"/>
      <c r="AE92" s="354"/>
      <c r="AF92" s="355"/>
      <c r="AG92" s="355"/>
      <c r="AH92" s="355"/>
      <c r="AI92" s="355" t="s">
        <v>591</v>
      </c>
      <c r="AJ92" s="356">
        <v>109</v>
      </c>
      <c r="AK92" s="356"/>
      <c r="AL92" s="356"/>
    </row>
    <row r="93" spans="1:38" ht="168" customHeight="1" thickBot="1">
      <c r="A93" s="239" t="s">
        <v>103</v>
      </c>
      <c r="B93" s="258" t="s">
        <v>444</v>
      </c>
      <c r="C93" s="247" t="s">
        <v>89</v>
      </c>
      <c r="D93" s="248" t="s">
        <v>445</v>
      </c>
      <c r="E93" s="249">
        <v>45352</v>
      </c>
      <c r="F93" s="288" t="s">
        <v>567</v>
      </c>
      <c r="G93" s="288"/>
      <c r="H93" s="269" t="s">
        <v>31</v>
      </c>
      <c r="I93" s="270"/>
      <c r="J93" s="312" t="s">
        <v>676</v>
      </c>
      <c r="K93" s="312"/>
      <c r="L93" s="306"/>
      <c r="M93" s="269" t="s">
        <v>31</v>
      </c>
      <c r="N93" s="278"/>
      <c r="O93" s="273" t="s">
        <v>805</v>
      </c>
      <c r="P93" s="273"/>
      <c r="Q93" s="328"/>
      <c r="R93" s="269" t="s">
        <v>22</v>
      </c>
      <c r="S93" s="278"/>
      <c r="T93" s="388" t="s">
        <v>921</v>
      </c>
      <c r="U93" s="387"/>
      <c r="V93" s="361" t="s">
        <v>22</v>
      </c>
      <c r="W93" s="358" t="s">
        <v>856</v>
      </c>
      <c r="X93" s="353"/>
      <c r="Y93" s="354" t="s">
        <v>201</v>
      </c>
      <c r="Z93" s="354" t="s">
        <v>388</v>
      </c>
      <c r="AA93" s="354" t="s">
        <v>412</v>
      </c>
      <c r="AB93" s="354" t="s">
        <v>201</v>
      </c>
      <c r="AC93" s="354" t="s">
        <v>467</v>
      </c>
      <c r="AD93" s="354"/>
      <c r="AE93" s="354"/>
      <c r="AF93" s="355"/>
      <c r="AG93" s="355"/>
      <c r="AH93" s="355"/>
      <c r="AI93" s="355" t="s">
        <v>591</v>
      </c>
      <c r="AJ93" s="356">
        <v>110</v>
      </c>
      <c r="AK93" s="356"/>
      <c r="AL93" s="356"/>
    </row>
    <row r="94" spans="1:38" ht="168" customHeight="1" thickBot="1">
      <c r="A94" s="239" t="s">
        <v>103</v>
      </c>
      <c r="B94" s="258" t="s">
        <v>447</v>
      </c>
      <c r="C94" s="247" t="s">
        <v>89</v>
      </c>
      <c r="D94" s="248" t="s">
        <v>446</v>
      </c>
      <c r="E94" s="249">
        <v>45352</v>
      </c>
      <c r="F94" s="288"/>
      <c r="G94" s="288"/>
      <c r="H94" s="269" t="s">
        <v>35</v>
      </c>
      <c r="I94" s="270"/>
      <c r="J94" s="312"/>
      <c r="K94" s="327"/>
      <c r="L94" s="306"/>
      <c r="M94" s="269" t="s">
        <v>35</v>
      </c>
      <c r="N94" s="278"/>
      <c r="O94" s="273" t="s">
        <v>806</v>
      </c>
      <c r="P94" s="273"/>
      <c r="Q94" s="328"/>
      <c r="R94" s="269" t="s">
        <v>31</v>
      </c>
      <c r="S94" s="278" t="s">
        <v>804</v>
      </c>
      <c r="T94" s="375" t="s">
        <v>939</v>
      </c>
      <c r="U94" s="387"/>
      <c r="V94" s="361" t="s">
        <v>22</v>
      </c>
      <c r="W94" s="358" t="s">
        <v>938</v>
      </c>
      <c r="X94" s="353"/>
      <c r="Y94" s="354" t="s">
        <v>201</v>
      </c>
      <c r="Z94" s="354" t="s">
        <v>388</v>
      </c>
      <c r="AA94" s="354" t="s">
        <v>412</v>
      </c>
      <c r="AB94" s="354" t="s">
        <v>201</v>
      </c>
      <c r="AC94" s="354" t="s">
        <v>467</v>
      </c>
      <c r="AD94" s="354"/>
      <c r="AE94" s="354"/>
      <c r="AF94" s="355"/>
      <c r="AG94" s="355"/>
      <c r="AH94" s="355"/>
      <c r="AI94" s="355" t="s">
        <v>591</v>
      </c>
      <c r="AJ94" s="356">
        <v>111</v>
      </c>
      <c r="AK94" s="356"/>
      <c r="AL94" s="356"/>
    </row>
    <row r="95" spans="1:38" ht="168" customHeight="1" thickBot="1">
      <c r="A95" s="239" t="s">
        <v>103</v>
      </c>
      <c r="B95" s="258" t="s">
        <v>367</v>
      </c>
      <c r="C95" s="247" t="s">
        <v>96</v>
      </c>
      <c r="D95" s="248" t="s">
        <v>368</v>
      </c>
      <c r="E95" s="249">
        <v>45200</v>
      </c>
      <c r="F95" s="268"/>
      <c r="G95" s="268"/>
      <c r="H95" s="269" t="s">
        <v>31</v>
      </c>
      <c r="I95" s="270"/>
      <c r="J95" s="271" t="s">
        <v>675</v>
      </c>
      <c r="K95" s="271"/>
      <c r="L95" s="272"/>
      <c r="M95" s="269" t="s">
        <v>31</v>
      </c>
      <c r="N95" s="270"/>
      <c r="O95" s="273" t="s">
        <v>807</v>
      </c>
      <c r="P95" s="273"/>
      <c r="Q95" s="328"/>
      <c r="R95" s="269" t="s">
        <v>22</v>
      </c>
      <c r="S95" s="270"/>
      <c r="T95" s="337" t="s">
        <v>921</v>
      </c>
      <c r="U95" s="359"/>
      <c r="V95" s="361" t="s">
        <v>22</v>
      </c>
      <c r="W95" s="362"/>
      <c r="X95" s="363"/>
      <c r="Y95" s="354" t="s">
        <v>201</v>
      </c>
      <c r="Z95" s="354" t="s">
        <v>388</v>
      </c>
      <c r="AA95" s="354" t="s">
        <v>412</v>
      </c>
      <c r="AB95" s="354" t="s">
        <v>201</v>
      </c>
      <c r="AC95" s="354" t="s">
        <v>201</v>
      </c>
      <c r="AD95" s="354"/>
      <c r="AE95" s="354"/>
      <c r="AF95" s="355"/>
      <c r="AG95" s="355"/>
      <c r="AH95" s="355" t="s">
        <v>591</v>
      </c>
      <c r="AI95" s="355"/>
      <c r="AJ95" s="356">
        <v>112</v>
      </c>
      <c r="AK95" s="356"/>
      <c r="AL95" s="356"/>
    </row>
    <row r="96" spans="1:38" ht="168" customHeight="1" thickBot="1">
      <c r="A96" s="239" t="s">
        <v>486</v>
      </c>
      <c r="B96" s="258" t="s">
        <v>331</v>
      </c>
      <c r="C96" s="247" t="s">
        <v>82</v>
      </c>
      <c r="D96" s="248" t="s">
        <v>139</v>
      </c>
      <c r="E96" s="249">
        <v>45078</v>
      </c>
      <c r="F96" s="268" t="s">
        <v>538</v>
      </c>
      <c r="G96" s="268"/>
      <c r="H96" s="269" t="s">
        <v>22</v>
      </c>
      <c r="I96" s="292" t="s">
        <v>539</v>
      </c>
      <c r="J96" s="271" t="s">
        <v>629</v>
      </c>
      <c r="K96" s="271"/>
      <c r="L96" s="272"/>
      <c r="M96" s="269" t="s">
        <v>22</v>
      </c>
      <c r="N96" s="270"/>
      <c r="O96" s="273" t="s">
        <v>808</v>
      </c>
      <c r="P96" s="273"/>
      <c r="Q96" s="328"/>
      <c r="R96" s="269" t="s">
        <v>22</v>
      </c>
      <c r="S96" s="270"/>
      <c r="T96" s="337" t="s">
        <v>923</v>
      </c>
      <c r="U96" s="359"/>
      <c r="V96" s="361" t="s">
        <v>22</v>
      </c>
      <c r="W96" s="362"/>
      <c r="X96" s="363"/>
      <c r="Y96" s="354" t="s">
        <v>201</v>
      </c>
      <c r="Z96" s="354" t="s">
        <v>399</v>
      </c>
      <c r="AA96" s="354" t="s">
        <v>412</v>
      </c>
      <c r="AB96" s="354" t="s">
        <v>109</v>
      </c>
      <c r="AC96" s="354" t="s">
        <v>201</v>
      </c>
      <c r="AD96" s="354"/>
      <c r="AE96" s="354"/>
      <c r="AF96" s="355"/>
      <c r="AG96" s="355"/>
      <c r="AH96" s="355" t="s">
        <v>591</v>
      </c>
      <c r="AI96" s="355"/>
      <c r="AJ96" s="356">
        <v>78</v>
      </c>
      <c r="AK96" s="356"/>
      <c r="AL96" s="356"/>
    </row>
    <row r="97" spans="1:38" ht="168" customHeight="1" thickBot="1">
      <c r="A97" s="239" t="s">
        <v>486</v>
      </c>
      <c r="B97" s="258" t="s">
        <v>332</v>
      </c>
      <c r="C97" s="247" t="s">
        <v>82</v>
      </c>
      <c r="D97" s="248" t="s">
        <v>140</v>
      </c>
      <c r="E97" s="249">
        <v>45200</v>
      </c>
      <c r="F97" s="268" t="s">
        <v>471</v>
      </c>
      <c r="G97" s="268"/>
      <c r="H97" s="269" t="s">
        <v>31</v>
      </c>
      <c r="I97" s="287"/>
      <c r="J97" s="271" t="s">
        <v>630</v>
      </c>
      <c r="K97" s="271"/>
      <c r="L97" s="272"/>
      <c r="M97" s="269" t="s">
        <v>31</v>
      </c>
      <c r="N97" s="270"/>
      <c r="O97" s="273" t="s">
        <v>760</v>
      </c>
      <c r="P97" s="273"/>
      <c r="Q97" s="328"/>
      <c r="R97" s="269" t="s">
        <v>22</v>
      </c>
      <c r="S97" s="270"/>
      <c r="T97" s="389" t="s">
        <v>921</v>
      </c>
      <c r="U97" s="359"/>
      <c r="V97" s="361" t="s">
        <v>22</v>
      </c>
      <c r="W97" s="362"/>
      <c r="X97" s="353"/>
      <c r="Y97" s="354" t="s">
        <v>201</v>
      </c>
      <c r="Z97" s="354" t="s">
        <v>399</v>
      </c>
      <c r="AA97" s="354" t="s">
        <v>412</v>
      </c>
      <c r="AB97" s="354" t="s">
        <v>109</v>
      </c>
      <c r="AC97" s="354" t="s">
        <v>201</v>
      </c>
      <c r="AD97" s="354"/>
      <c r="AE97" s="354"/>
      <c r="AF97" s="355"/>
      <c r="AG97" s="355"/>
      <c r="AH97" s="355" t="s">
        <v>591</v>
      </c>
      <c r="AI97" s="355"/>
      <c r="AJ97" s="356">
        <v>79</v>
      </c>
      <c r="AK97" s="356"/>
      <c r="AL97" s="356"/>
    </row>
    <row r="98" spans="1:38" ht="168" customHeight="1" thickBot="1">
      <c r="A98" s="239" t="s">
        <v>486</v>
      </c>
      <c r="B98" s="258" t="s">
        <v>333</v>
      </c>
      <c r="C98" s="247" t="s">
        <v>82</v>
      </c>
      <c r="D98" s="248" t="s">
        <v>141</v>
      </c>
      <c r="E98" s="249">
        <v>45352</v>
      </c>
      <c r="F98" s="272" t="s">
        <v>574</v>
      </c>
      <c r="G98" s="268"/>
      <c r="H98" s="269" t="s">
        <v>31</v>
      </c>
      <c r="I98" s="270"/>
      <c r="J98" s="276" t="s">
        <v>631</v>
      </c>
      <c r="K98" s="276"/>
      <c r="L98" s="277"/>
      <c r="M98" s="269" t="s">
        <v>31</v>
      </c>
      <c r="N98" s="278"/>
      <c r="O98" s="273" t="s">
        <v>761</v>
      </c>
      <c r="P98" s="273"/>
      <c r="Q98" s="328"/>
      <c r="R98" s="269" t="s">
        <v>31</v>
      </c>
      <c r="S98" s="278"/>
      <c r="T98" s="336" t="s">
        <v>860</v>
      </c>
      <c r="U98" s="357"/>
      <c r="V98" s="361" t="s">
        <v>22</v>
      </c>
      <c r="W98" s="358"/>
      <c r="X98" s="363"/>
      <c r="Y98" s="354" t="s">
        <v>201</v>
      </c>
      <c r="Z98" s="354" t="s">
        <v>399</v>
      </c>
      <c r="AA98" s="354" t="s">
        <v>412</v>
      </c>
      <c r="AB98" s="354" t="s">
        <v>109</v>
      </c>
      <c r="AC98" s="354" t="s">
        <v>201</v>
      </c>
      <c r="AD98" s="354"/>
      <c r="AE98" s="354"/>
      <c r="AF98" s="355"/>
      <c r="AG98" s="355"/>
      <c r="AH98" s="355" t="s">
        <v>591</v>
      </c>
      <c r="AI98" s="355"/>
      <c r="AJ98" s="356">
        <v>80</v>
      </c>
      <c r="AK98" s="356"/>
      <c r="AL98" s="356"/>
    </row>
    <row r="99" spans="1:38" ht="168" customHeight="1" thickBot="1">
      <c r="A99" s="239" t="s">
        <v>486</v>
      </c>
      <c r="B99" s="258" t="s">
        <v>334</v>
      </c>
      <c r="C99" s="247" t="s">
        <v>82</v>
      </c>
      <c r="D99" s="248" t="s">
        <v>142</v>
      </c>
      <c r="E99" s="249">
        <v>45352</v>
      </c>
      <c r="F99" s="293"/>
      <c r="G99" s="268"/>
      <c r="H99" s="269" t="s">
        <v>35</v>
      </c>
      <c r="I99" s="287"/>
      <c r="J99" s="276" t="s">
        <v>632</v>
      </c>
      <c r="K99" s="276"/>
      <c r="L99" s="277"/>
      <c r="M99" s="269" t="s">
        <v>31</v>
      </c>
      <c r="N99" s="278"/>
      <c r="O99" s="333" t="s">
        <v>762</v>
      </c>
      <c r="P99" s="273"/>
      <c r="Q99" s="328"/>
      <c r="R99" s="269" t="s">
        <v>31</v>
      </c>
      <c r="S99" s="278"/>
      <c r="T99" s="336" t="s">
        <v>861</v>
      </c>
      <c r="U99" s="357"/>
      <c r="V99" s="361" t="s">
        <v>22</v>
      </c>
      <c r="W99" s="358"/>
      <c r="X99" s="363"/>
      <c r="Y99" s="354" t="s">
        <v>201</v>
      </c>
      <c r="Z99" s="354" t="s">
        <v>399</v>
      </c>
      <c r="AA99" s="354" t="s">
        <v>412</v>
      </c>
      <c r="AB99" s="354" t="s">
        <v>109</v>
      </c>
      <c r="AC99" s="354" t="s">
        <v>201</v>
      </c>
      <c r="AD99" s="354"/>
      <c r="AE99" s="354"/>
      <c r="AF99" s="355"/>
      <c r="AG99" s="355"/>
      <c r="AH99" s="355" t="s">
        <v>591</v>
      </c>
      <c r="AI99" s="355"/>
      <c r="AJ99" s="356">
        <v>81</v>
      </c>
      <c r="AK99" s="356"/>
      <c r="AL99" s="356"/>
    </row>
    <row r="100" spans="1:38" ht="168" customHeight="1" thickBot="1">
      <c r="A100" s="239" t="s">
        <v>486</v>
      </c>
      <c r="B100" s="258" t="s">
        <v>462</v>
      </c>
      <c r="C100" s="247" t="s">
        <v>167</v>
      </c>
      <c r="D100" s="248" t="s">
        <v>464</v>
      </c>
      <c r="E100" s="249">
        <v>45261</v>
      </c>
      <c r="F100" s="268" t="s">
        <v>488</v>
      </c>
      <c r="G100" s="268"/>
      <c r="H100" s="269" t="s">
        <v>31</v>
      </c>
      <c r="I100" s="270"/>
      <c r="J100" s="277" t="s">
        <v>628</v>
      </c>
      <c r="K100" s="284"/>
      <c r="L100" s="272"/>
      <c r="M100" s="269" t="s">
        <v>31</v>
      </c>
      <c r="N100" s="278"/>
      <c r="O100" s="273" t="s">
        <v>763</v>
      </c>
      <c r="P100" s="273"/>
      <c r="Q100" s="328"/>
      <c r="R100" s="269" t="s">
        <v>22</v>
      </c>
      <c r="S100" s="292" t="s">
        <v>809</v>
      </c>
      <c r="T100" s="336" t="s">
        <v>921</v>
      </c>
      <c r="U100" s="378"/>
      <c r="V100" s="361" t="s">
        <v>22</v>
      </c>
      <c r="W100" s="336"/>
      <c r="X100" s="363"/>
      <c r="Y100" s="354" t="s">
        <v>201</v>
      </c>
      <c r="Z100" s="354" t="s">
        <v>400</v>
      </c>
      <c r="AA100" s="354" t="s">
        <v>412</v>
      </c>
      <c r="AB100" s="354" t="s">
        <v>109</v>
      </c>
      <c r="AC100" s="354" t="s">
        <v>467</v>
      </c>
      <c r="AD100" s="354"/>
      <c r="AE100" s="354"/>
      <c r="AF100" s="355"/>
      <c r="AG100" s="355"/>
      <c r="AH100" s="355"/>
      <c r="AI100" s="355" t="s">
        <v>591</v>
      </c>
      <c r="AJ100" s="356">
        <v>86</v>
      </c>
      <c r="AK100" s="356"/>
      <c r="AL100" s="356"/>
    </row>
    <row r="101" spans="1:38" ht="168" customHeight="1" thickBot="1">
      <c r="A101" s="239" t="s">
        <v>537</v>
      </c>
      <c r="B101" s="258" t="s">
        <v>335</v>
      </c>
      <c r="C101" s="247" t="s">
        <v>92</v>
      </c>
      <c r="D101" s="248" t="s">
        <v>589</v>
      </c>
      <c r="E101" s="249">
        <v>45231</v>
      </c>
      <c r="F101" s="268" t="s">
        <v>540</v>
      </c>
      <c r="G101" s="268"/>
      <c r="H101" s="269" t="s">
        <v>31</v>
      </c>
      <c r="I101" s="270"/>
      <c r="J101" s="272" t="s">
        <v>633</v>
      </c>
      <c r="K101" s="339"/>
      <c r="L101" s="340"/>
      <c r="M101" s="341" t="s">
        <v>31</v>
      </c>
      <c r="N101" s="270" t="s">
        <v>685</v>
      </c>
      <c r="O101" s="271" t="s">
        <v>829</v>
      </c>
      <c r="P101" s="273"/>
      <c r="Q101" s="328"/>
      <c r="R101" s="269" t="s">
        <v>22</v>
      </c>
      <c r="S101" s="270"/>
      <c r="T101" s="390" t="s">
        <v>874</v>
      </c>
      <c r="U101" s="359"/>
      <c r="V101" s="361" t="s">
        <v>22</v>
      </c>
      <c r="W101" s="362"/>
      <c r="X101" s="363"/>
      <c r="Y101" s="354" t="s">
        <v>201</v>
      </c>
      <c r="Z101" s="354" t="s">
        <v>399</v>
      </c>
      <c r="AA101" s="354" t="s">
        <v>412</v>
      </c>
      <c r="AB101" s="354" t="s">
        <v>109</v>
      </c>
      <c r="AC101" s="354" t="s">
        <v>201</v>
      </c>
      <c r="AD101" s="354"/>
      <c r="AE101" s="354"/>
      <c r="AF101" s="355"/>
      <c r="AG101" s="355"/>
      <c r="AH101" s="355" t="s">
        <v>591</v>
      </c>
      <c r="AI101" s="355"/>
      <c r="AJ101" s="356">
        <v>82</v>
      </c>
      <c r="AK101" s="356"/>
      <c r="AL101" s="356"/>
    </row>
    <row r="102" spans="1:38" ht="168" customHeight="1" thickBot="1">
      <c r="A102" s="239" t="s">
        <v>537</v>
      </c>
      <c r="B102" s="258" t="s">
        <v>336</v>
      </c>
      <c r="C102" s="247" t="s">
        <v>92</v>
      </c>
      <c r="D102" s="248" t="s">
        <v>164</v>
      </c>
      <c r="E102" s="249">
        <v>45352</v>
      </c>
      <c r="F102" s="268" t="s">
        <v>541</v>
      </c>
      <c r="G102" s="268"/>
      <c r="H102" s="269" t="s">
        <v>31</v>
      </c>
      <c r="I102" s="270" t="s">
        <v>542</v>
      </c>
      <c r="J102" s="271" t="s">
        <v>686</v>
      </c>
      <c r="K102" s="345"/>
      <c r="L102" s="340"/>
      <c r="M102" s="341" t="s">
        <v>31</v>
      </c>
      <c r="N102" s="270"/>
      <c r="O102" s="335" t="s">
        <v>873</v>
      </c>
      <c r="P102" s="273"/>
      <c r="Q102" s="328"/>
      <c r="R102" s="269" t="s">
        <v>22</v>
      </c>
      <c r="S102" s="270"/>
      <c r="T102" s="348" t="s">
        <v>873</v>
      </c>
      <c r="U102" s="351"/>
      <c r="V102" s="361" t="s">
        <v>22</v>
      </c>
      <c r="W102" s="362"/>
      <c r="X102" s="363"/>
      <c r="Y102" s="354" t="s">
        <v>201</v>
      </c>
      <c r="Z102" s="354" t="s">
        <v>399</v>
      </c>
      <c r="AA102" s="354" t="s">
        <v>412</v>
      </c>
      <c r="AB102" s="354" t="s">
        <v>109</v>
      </c>
      <c r="AC102" s="354" t="s">
        <v>201</v>
      </c>
      <c r="AD102" s="354"/>
      <c r="AE102" s="354"/>
      <c r="AF102" s="355"/>
      <c r="AG102" s="355"/>
      <c r="AH102" s="355" t="s">
        <v>591</v>
      </c>
      <c r="AI102" s="355"/>
      <c r="AJ102" s="356">
        <v>83</v>
      </c>
      <c r="AK102" s="356"/>
      <c r="AL102" s="356"/>
    </row>
    <row r="103" spans="1:38" ht="168" customHeight="1" thickBot="1">
      <c r="A103" s="239" t="s">
        <v>537</v>
      </c>
      <c r="B103" s="258" t="s">
        <v>337</v>
      </c>
      <c r="C103" s="247" t="s">
        <v>92</v>
      </c>
      <c r="D103" s="248" t="s">
        <v>184</v>
      </c>
      <c r="E103" s="249">
        <v>45261</v>
      </c>
      <c r="F103" s="268" t="s">
        <v>549</v>
      </c>
      <c r="G103" s="268"/>
      <c r="H103" s="269" t="s">
        <v>31</v>
      </c>
      <c r="I103" s="270"/>
      <c r="J103" s="271" t="s">
        <v>705</v>
      </c>
      <c r="K103" s="304"/>
      <c r="L103" s="272"/>
      <c r="M103" s="269" t="s">
        <v>26</v>
      </c>
      <c r="N103" s="270"/>
      <c r="O103" s="273" t="s">
        <v>847</v>
      </c>
      <c r="P103" s="273"/>
      <c r="Q103" s="328"/>
      <c r="R103" s="269" t="s">
        <v>26</v>
      </c>
      <c r="S103" s="270"/>
      <c r="T103" s="348" t="s">
        <v>872</v>
      </c>
      <c r="U103" s="386"/>
      <c r="V103" s="381" t="s">
        <v>26</v>
      </c>
      <c r="W103" s="362"/>
      <c r="X103" s="363"/>
      <c r="Y103" s="354" t="s">
        <v>201</v>
      </c>
      <c r="Z103" s="354" t="s">
        <v>399</v>
      </c>
      <c r="AA103" s="354" t="s">
        <v>412</v>
      </c>
      <c r="AB103" s="354" t="s">
        <v>109</v>
      </c>
      <c r="AC103" s="354" t="s">
        <v>467</v>
      </c>
      <c r="AD103" s="354"/>
      <c r="AE103" s="354"/>
      <c r="AF103" s="355"/>
      <c r="AG103" s="355"/>
      <c r="AH103" s="355"/>
      <c r="AI103" s="355" t="s">
        <v>591</v>
      </c>
      <c r="AJ103" s="356">
        <v>84</v>
      </c>
      <c r="AK103" s="356"/>
      <c r="AL103" s="356"/>
    </row>
    <row r="104" spans="1:38" ht="168" customHeight="1" thickBot="1">
      <c r="A104" s="239" t="s">
        <v>106</v>
      </c>
      <c r="B104" s="258" t="s">
        <v>265</v>
      </c>
      <c r="C104" s="247" t="s">
        <v>248</v>
      </c>
      <c r="D104" s="248" t="s">
        <v>266</v>
      </c>
      <c r="E104" s="253" t="s">
        <v>250</v>
      </c>
      <c r="F104" s="268" t="s">
        <v>490</v>
      </c>
      <c r="G104" s="268"/>
      <c r="H104" s="269" t="s">
        <v>31</v>
      </c>
      <c r="I104" s="270"/>
      <c r="J104" s="271" t="s">
        <v>677</v>
      </c>
      <c r="K104" s="271"/>
      <c r="L104" s="304"/>
      <c r="M104" s="269" t="s">
        <v>31</v>
      </c>
      <c r="N104" s="270"/>
      <c r="O104" s="273" t="s">
        <v>810</v>
      </c>
      <c r="P104" s="273"/>
      <c r="Q104" s="328"/>
      <c r="R104" s="269" t="s">
        <v>22</v>
      </c>
      <c r="S104" s="270"/>
      <c r="T104" s="337" t="s">
        <v>921</v>
      </c>
      <c r="U104" s="359"/>
      <c r="V104" s="361" t="s">
        <v>22</v>
      </c>
      <c r="W104" s="362"/>
      <c r="X104" s="363"/>
      <c r="Y104" s="354" t="s">
        <v>835</v>
      </c>
      <c r="Z104" s="354" t="s">
        <v>393</v>
      </c>
      <c r="AA104" s="354" t="s">
        <v>405</v>
      </c>
      <c r="AB104" s="354" t="s">
        <v>110</v>
      </c>
      <c r="AC104" s="354" t="s">
        <v>468</v>
      </c>
      <c r="AD104" s="354"/>
      <c r="AE104" s="354"/>
      <c r="AF104" s="355" t="s">
        <v>591</v>
      </c>
      <c r="AG104" s="355"/>
      <c r="AH104" s="355"/>
      <c r="AI104" s="355"/>
      <c r="AJ104" s="356">
        <v>27</v>
      </c>
      <c r="AK104" s="356"/>
      <c r="AL104" s="356"/>
    </row>
    <row r="105" spans="1:38" ht="168" customHeight="1" thickBot="1">
      <c r="A105" s="239" t="s">
        <v>106</v>
      </c>
      <c r="B105" s="258" t="s">
        <v>267</v>
      </c>
      <c r="C105" s="247" t="s">
        <v>248</v>
      </c>
      <c r="D105" s="248" t="s">
        <v>850</v>
      </c>
      <c r="E105" s="253" t="s">
        <v>250</v>
      </c>
      <c r="F105" s="268" t="s">
        <v>588</v>
      </c>
      <c r="G105" s="268"/>
      <c r="H105" s="269" t="s">
        <v>32</v>
      </c>
      <c r="I105" s="270" t="s">
        <v>473</v>
      </c>
      <c r="J105" s="271" t="s">
        <v>703</v>
      </c>
      <c r="K105" s="271"/>
      <c r="L105" s="272"/>
      <c r="M105" s="269" t="s">
        <v>22</v>
      </c>
      <c r="N105" s="270"/>
      <c r="O105" s="273" t="s">
        <v>811</v>
      </c>
      <c r="P105" s="273" t="s">
        <v>828</v>
      </c>
      <c r="Q105" s="328"/>
      <c r="R105" s="269" t="s">
        <v>22</v>
      </c>
      <c r="S105" s="270"/>
      <c r="T105" s="348" t="s">
        <v>888</v>
      </c>
      <c r="U105" s="359"/>
      <c r="V105" s="361" t="s">
        <v>22</v>
      </c>
      <c r="W105" s="362"/>
      <c r="X105" s="353"/>
      <c r="Y105" s="354" t="s">
        <v>835</v>
      </c>
      <c r="Z105" s="354" t="s">
        <v>393</v>
      </c>
      <c r="AA105" s="354" t="s">
        <v>405</v>
      </c>
      <c r="AB105" s="354" t="s">
        <v>110</v>
      </c>
      <c r="AC105" s="354" t="s">
        <v>468</v>
      </c>
      <c r="AD105" s="354"/>
      <c r="AE105" s="354"/>
      <c r="AF105" s="355" t="s">
        <v>591</v>
      </c>
      <c r="AG105" s="355"/>
      <c r="AH105" s="355"/>
      <c r="AI105" s="355"/>
      <c r="AJ105" s="356">
        <v>28</v>
      </c>
      <c r="AK105" s="356"/>
      <c r="AL105" s="356"/>
    </row>
    <row r="106" spans="1:38" ht="168" customHeight="1" thickBot="1">
      <c r="A106" s="239" t="s">
        <v>106</v>
      </c>
      <c r="B106" s="258" t="s">
        <v>448</v>
      </c>
      <c r="C106" s="247" t="s">
        <v>93</v>
      </c>
      <c r="D106" s="248" t="s">
        <v>452</v>
      </c>
      <c r="E106" s="249" t="s">
        <v>134</v>
      </c>
      <c r="F106" s="268" t="s">
        <v>472</v>
      </c>
      <c r="G106" s="268"/>
      <c r="H106" s="269" t="s">
        <v>35</v>
      </c>
      <c r="I106" s="270"/>
      <c r="J106" s="284" t="s">
        <v>598</v>
      </c>
      <c r="K106" s="276"/>
      <c r="L106" s="277"/>
      <c r="M106" s="269" t="s">
        <v>31</v>
      </c>
      <c r="N106" s="278"/>
      <c r="O106" s="273" t="s">
        <v>813</v>
      </c>
      <c r="P106" s="273" t="s">
        <v>812</v>
      </c>
      <c r="Q106" s="328"/>
      <c r="R106" s="269" t="s">
        <v>31</v>
      </c>
      <c r="S106" s="278"/>
      <c r="T106" s="336" t="s">
        <v>863</v>
      </c>
      <c r="U106" s="391">
        <v>0</v>
      </c>
      <c r="V106" s="361" t="s">
        <v>22</v>
      </c>
      <c r="W106" s="358"/>
      <c r="X106" s="363"/>
      <c r="Y106" s="354" t="s">
        <v>835</v>
      </c>
      <c r="Z106" s="354" t="s">
        <v>393</v>
      </c>
      <c r="AA106" s="354" t="s">
        <v>412</v>
      </c>
      <c r="AB106" s="354" t="s">
        <v>110</v>
      </c>
      <c r="AC106" s="354" t="s">
        <v>468</v>
      </c>
      <c r="AD106" s="354"/>
      <c r="AE106" s="354"/>
      <c r="AF106" s="355" t="s">
        <v>591</v>
      </c>
      <c r="AG106" s="355"/>
      <c r="AH106" s="355"/>
      <c r="AI106" s="355"/>
      <c r="AJ106" s="356">
        <v>63</v>
      </c>
      <c r="AK106" s="356"/>
      <c r="AL106" s="356"/>
    </row>
    <row r="107" spans="1:38" ht="168" customHeight="1" thickBot="1">
      <c r="A107" s="239" t="s">
        <v>106</v>
      </c>
      <c r="B107" s="258" t="s">
        <v>449</v>
      </c>
      <c r="C107" s="247" t="s">
        <v>93</v>
      </c>
      <c r="D107" s="248" t="s">
        <v>453</v>
      </c>
      <c r="E107" s="249" t="s">
        <v>134</v>
      </c>
      <c r="F107" s="268" t="s">
        <v>472</v>
      </c>
      <c r="G107" s="268"/>
      <c r="H107" s="269" t="s">
        <v>35</v>
      </c>
      <c r="I107" s="270"/>
      <c r="J107" s="284" t="s">
        <v>598</v>
      </c>
      <c r="K107" s="276"/>
      <c r="L107" s="277"/>
      <c r="M107" s="269" t="s">
        <v>31</v>
      </c>
      <c r="N107" s="278"/>
      <c r="O107" s="273" t="s">
        <v>813</v>
      </c>
      <c r="P107" s="273" t="s">
        <v>812</v>
      </c>
      <c r="Q107" s="328"/>
      <c r="R107" s="269" t="s">
        <v>31</v>
      </c>
      <c r="S107" s="278"/>
      <c r="T107" s="336" t="s">
        <v>863</v>
      </c>
      <c r="U107" s="391">
        <v>0</v>
      </c>
      <c r="V107" s="361" t="s">
        <v>22</v>
      </c>
      <c r="W107" s="358"/>
      <c r="X107" s="363"/>
      <c r="Y107" s="354" t="s">
        <v>835</v>
      </c>
      <c r="Z107" s="354" t="s">
        <v>393</v>
      </c>
      <c r="AA107" s="354" t="s">
        <v>412</v>
      </c>
      <c r="AB107" s="354" t="s">
        <v>110</v>
      </c>
      <c r="AC107" s="354" t="s">
        <v>468</v>
      </c>
      <c r="AD107" s="354"/>
      <c r="AE107" s="354"/>
      <c r="AF107" s="355" t="s">
        <v>591</v>
      </c>
      <c r="AG107" s="355"/>
      <c r="AH107" s="355"/>
      <c r="AI107" s="355"/>
      <c r="AJ107" s="356">
        <v>64</v>
      </c>
      <c r="AK107" s="356"/>
      <c r="AL107" s="356"/>
    </row>
    <row r="108" spans="1:38" ht="168" customHeight="1" thickBot="1">
      <c r="A108" s="239" t="s">
        <v>106</v>
      </c>
      <c r="B108" s="258" t="s">
        <v>450</v>
      </c>
      <c r="C108" s="247" t="s">
        <v>93</v>
      </c>
      <c r="D108" s="248" t="s">
        <v>454</v>
      </c>
      <c r="E108" s="249" t="s">
        <v>134</v>
      </c>
      <c r="F108" s="268" t="s">
        <v>472</v>
      </c>
      <c r="G108" s="268"/>
      <c r="H108" s="269" t="s">
        <v>35</v>
      </c>
      <c r="I108" s="270"/>
      <c r="J108" s="284" t="s">
        <v>598</v>
      </c>
      <c r="K108" s="276"/>
      <c r="L108" s="277"/>
      <c r="M108" s="269" t="s">
        <v>31</v>
      </c>
      <c r="N108" s="278"/>
      <c r="O108" s="273" t="s">
        <v>813</v>
      </c>
      <c r="P108" s="273" t="s">
        <v>812</v>
      </c>
      <c r="Q108" s="328"/>
      <c r="R108" s="269" t="s">
        <v>31</v>
      </c>
      <c r="S108" s="278"/>
      <c r="T108" s="336" t="s">
        <v>863</v>
      </c>
      <c r="U108" s="391">
        <v>0</v>
      </c>
      <c r="V108" s="361" t="s">
        <v>22</v>
      </c>
      <c r="W108" s="358"/>
      <c r="X108" s="363"/>
      <c r="Y108" s="354" t="s">
        <v>835</v>
      </c>
      <c r="Z108" s="354" t="s">
        <v>393</v>
      </c>
      <c r="AA108" s="354" t="s">
        <v>412</v>
      </c>
      <c r="AB108" s="354" t="s">
        <v>110</v>
      </c>
      <c r="AC108" s="354" t="s">
        <v>468</v>
      </c>
      <c r="AD108" s="354"/>
      <c r="AE108" s="354"/>
      <c r="AF108" s="355" t="s">
        <v>591</v>
      </c>
      <c r="AG108" s="355"/>
      <c r="AH108" s="355"/>
      <c r="AI108" s="355"/>
      <c r="AJ108" s="356">
        <v>65</v>
      </c>
      <c r="AK108" s="356"/>
      <c r="AL108" s="356"/>
    </row>
    <row r="109" spans="1:38" ht="168" customHeight="1" thickBot="1">
      <c r="A109" s="239" t="s">
        <v>106</v>
      </c>
      <c r="B109" s="258" t="s">
        <v>451</v>
      </c>
      <c r="C109" s="247" t="s">
        <v>93</v>
      </c>
      <c r="D109" s="248" t="s">
        <v>455</v>
      </c>
      <c r="E109" s="249" t="s">
        <v>134</v>
      </c>
      <c r="F109" s="268" t="s">
        <v>472</v>
      </c>
      <c r="G109" s="268"/>
      <c r="H109" s="269" t="s">
        <v>35</v>
      </c>
      <c r="I109" s="270"/>
      <c r="J109" s="284" t="s">
        <v>598</v>
      </c>
      <c r="K109" s="276"/>
      <c r="L109" s="277"/>
      <c r="M109" s="269" t="s">
        <v>31</v>
      </c>
      <c r="N109" s="278"/>
      <c r="O109" s="273" t="s">
        <v>813</v>
      </c>
      <c r="P109" s="273" t="s">
        <v>812</v>
      </c>
      <c r="Q109" s="328"/>
      <c r="R109" s="269" t="s">
        <v>31</v>
      </c>
      <c r="S109" s="278"/>
      <c r="T109" s="336" t="s">
        <v>863</v>
      </c>
      <c r="U109" s="391">
        <v>0</v>
      </c>
      <c r="V109" s="361" t="s">
        <v>22</v>
      </c>
      <c r="W109" s="358"/>
      <c r="X109" s="363"/>
      <c r="Y109" s="354" t="s">
        <v>835</v>
      </c>
      <c r="Z109" s="354" t="s">
        <v>393</v>
      </c>
      <c r="AA109" s="354" t="s">
        <v>412</v>
      </c>
      <c r="AB109" s="354" t="s">
        <v>110</v>
      </c>
      <c r="AC109" s="354" t="s">
        <v>468</v>
      </c>
      <c r="AD109" s="354"/>
      <c r="AE109" s="354"/>
      <c r="AF109" s="355" t="s">
        <v>591</v>
      </c>
      <c r="AG109" s="355"/>
      <c r="AH109" s="355"/>
      <c r="AI109" s="355"/>
      <c r="AJ109" s="356">
        <v>66</v>
      </c>
      <c r="AK109" s="356"/>
      <c r="AL109" s="356"/>
    </row>
    <row r="110" spans="1:38" ht="168" customHeight="1" thickBot="1">
      <c r="A110" s="239" t="s">
        <v>106</v>
      </c>
      <c r="B110" s="258" t="s">
        <v>320</v>
      </c>
      <c r="C110" s="247" t="s">
        <v>3</v>
      </c>
      <c r="D110" s="248" t="s">
        <v>144</v>
      </c>
      <c r="E110" s="249" t="s">
        <v>134</v>
      </c>
      <c r="F110" s="294">
        <v>0.99980000000000002</v>
      </c>
      <c r="G110" s="294">
        <v>0.99980000000000002</v>
      </c>
      <c r="H110" s="269" t="s">
        <v>31</v>
      </c>
      <c r="I110" s="270"/>
      <c r="J110" s="275">
        <v>0.99970000000000003</v>
      </c>
      <c r="K110" s="276"/>
      <c r="L110" s="308">
        <v>0.99970000000000003</v>
      </c>
      <c r="M110" s="269" t="s">
        <v>31</v>
      </c>
      <c r="N110" s="278"/>
      <c r="O110" s="273" t="s">
        <v>729</v>
      </c>
      <c r="P110" s="273"/>
      <c r="Q110" s="328"/>
      <c r="R110" s="269" t="s">
        <v>31</v>
      </c>
      <c r="S110" s="278"/>
      <c r="T110" s="375">
        <v>0.99970000000000003</v>
      </c>
      <c r="U110" s="388"/>
      <c r="V110" s="361" t="s">
        <v>22</v>
      </c>
      <c r="W110" s="358"/>
      <c r="X110" s="353"/>
      <c r="Y110" s="354" t="s">
        <v>835</v>
      </c>
      <c r="Z110" s="354" t="s">
        <v>393</v>
      </c>
      <c r="AA110" s="354" t="s">
        <v>412</v>
      </c>
      <c r="AB110" s="354" t="s">
        <v>110</v>
      </c>
      <c r="AC110" s="354" t="s">
        <v>467</v>
      </c>
      <c r="AD110" s="354"/>
      <c r="AE110" s="354"/>
      <c r="AF110" s="355"/>
      <c r="AG110" s="355"/>
      <c r="AH110" s="355"/>
      <c r="AI110" s="355" t="s">
        <v>591</v>
      </c>
      <c r="AJ110" s="356">
        <v>67</v>
      </c>
      <c r="AK110" s="356"/>
      <c r="AL110" s="356"/>
    </row>
    <row r="111" spans="1:38" ht="168" customHeight="1" thickBot="1">
      <c r="A111" s="239" t="s">
        <v>106</v>
      </c>
      <c r="B111" s="258" t="s">
        <v>321</v>
      </c>
      <c r="C111" s="247" t="s">
        <v>168</v>
      </c>
      <c r="D111" s="248" t="s">
        <v>169</v>
      </c>
      <c r="E111" s="249">
        <v>45108</v>
      </c>
      <c r="F111" s="268" t="s">
        <v>579</v>
      </c>
      <c r="G111" s="268"/>
      <c r="H111" s="269" t="s">
        <v>22</v>
      </c>
      <c r="I111" s="270"/>
      <c r="J111" s="271" t="s">
        <v>668</v>
      </c>
      <c r="K111" s="276"/>
      <c r="L111" s="277"/>
      <c r="M111" s="269" t="s">
        <v>22</v>
      </c>
      <c r="N111" s="278"/>
      <c r="O111" s="271" t="s">
        <v>668</v>
      </c>
      <c r="P111" s="273"/>
      <c r="Q111" s="328"/>
      <c r="R111" s="269" t="s">
        <v>22</v>
      </c>
      <c r="S111" s="278"/>
      <c r="T111" s="384" t="s">
        <v>923</v>
      </c>
      <c r="U111" s="336"/>
      <c r="V111" s="361" t="s">
        <v>22</v>
      </c>
      <c r="W111" s="358"/>
      <c r="X111" s="363"/>
      <c r="Y111" s="354" t="s">
        <v>835</v>
      </c>
      <c r="Z111" s="354" t="s">
        <v>393</v>
      </c>
      <c r="AA111" s="354" t="s">
        <v>412</v>
      </c>
      <c r="AB111" s="354" t="s">
        <v>110</v>
      </c>
      <c r="AC111" s="354" t="s">
        <v>467</v>
      </c>
      <c r="AD111" s="354"/>
      <c r="AE111" s="354"/>
      <c r="AF111" s="355"/>
      <c r="AG111" s="355"/>
      <c r="AH111" s="355"/>
      <c r="AI111" s="355" t="s">
        <v>591</v>
      </c>
      <c r="AJ111" s="356">
        <v>68</v>
      </c>
      <c r="AK111" s="356"/>
      <c r="AL111" s="356"/>
    </row>
    <row r="112" spans="1:38" ht="168" customHeight="1" thickBot="1">
      <c r="A112" s="239" t="s">
        <v>106</v>
      </c>
      <c r="B112" s="258" t="s">
        <v>322</v>
      </c>
      <c r="C112" s="247" t="s">
        <v>168</v>
      </c>
      <c r="D112" s="248" t="s">
        <v>170</v>
      </c>
      <c r="E112" s="249">
        <v>45170</v>
      </c>
      <c r="F112" s="268" t="s">
        <v>489</v>
      </c>
      <c r="G112" s="268"/>
      <c r="H112" s="269" t="s">
        <v>31</v>
      </c>
      <c r="I112" s="270"/>
      <c r="J112" s="271" t="s">
        <v>678</v>
      </c>
      <c r="K112" s="271"/>
      <c r="L112" s="272"/>
      <c r="M112" s="269" t="s">
        <v>22</v>
      </c>
      <c r="N112" s="270"/>
      <c r="O112" s="273" t="s">
        <v>814</v>
      </c>
      <c r="P112" s="273"/>
      <c r="Q112" s="328"/>
      <c r="R112" s="269" t="s">
        <v>22</v>
      </c>
      <c r="S112" s="270"/>
      <c r="T112" s="364" t="s">
        <v>772</v>
      </c>
      <c r="U112" s="364"/>
      <c r="V112" s="361" t="s">
        <v>22</v>
      </c>
      <c r="W112" s="362"/>
      <c r="X112" s="363"/>
      <c r="Y112" s="354" t="s">
        <v>835</v>
      </c>
      <c r="Z112" s="354" t="s">
        <v>393</v>
      </c>
      <c r="AA112" s="354" t="s">
        <v>412</v>
      </c>
      <c r="AB112" s="354" t="s">
        <v>110</v>
      </c>
      <c r="AC112" s="354" t="s">
        <v>467</v>
      </c>
      <c r="AD112" s="354"/>
      <c r="AE112" s="354"/>
      <c r="AF112" s="355"/>
      <c r="AG112" s="355"/>
      <c r="AH112" s="355"/>
      <c r="AI112" s="355" t="s">
        <v>591</v>
      </c>
      <c r="AJ112" s="356">
        <v>69</v>
      </c>
      <c r="AK112" s="356"/>
      <c r="AL112" s="356"/>
    </row>
    <row r="113" spans="1:38" ht="168" customHeight="1" thickBot="1">
      <c r="A113" s="239" t="s">
        <v>106</v>
      </c>
      <c r="B113" s="258" t="s">
        <v>323</v>
      </c>
      <c r="C113" s="247" t="s">
        <v>85</v>
      </c>
      <c r="D113" s="248" t="s">
        <v>148</v>
      </c>
      <c r="E113" s="249">
        <v>45200</v>
      </c>
      <c r="F113" s="268" t="s">
        <v>580</v>
      </c>
      <c r="G113" s="268"/>
      <c r="H113" s="269" t="s">
        <v>31</v>
      </c>
      <c r="I113" s="270"/>
      <c r="J113" s="271" t="s">
        <v>687</v>
      </c>
      <c r="K113" s="271"/>
      <c r="L113" s="272"/>
      <c r="M113" s="269" t="s">
        <v>31</v>
      </c>
      <c r="N113" s="270"/>
      <c r="O113" s="273" t="s">
        <v>726</v>
      </c>
      <c r="P113" s="273"/>
      <c r="Q113" s="328"/>
      <c r="R113" s="269" t="s">
        <v>22</v>
      </c>
      <c r="S113" s="270"/>
      <c r="T113" s="369" t="s">
        <v>772</v>
      </c>
      <c r="U113" s="364"/>
      <c r="V113" s="361" t="s">
        <v>22</v>
      </c>
      <c r="W113" s="362"/>
      <c r="X113" s="363"/>
      <c r="Y113" s="354" t="s">
        <v>835</v>
      </c>
      <c r="Z113" s="354" t="s">
        <v>393</v>
      </c>
      <c r="AA113" s="354" t="s">
        <v>412</v>
      </c>
      <c r="AB113" s="354" t="s">
        <v>110</v>
      </c>
      <c r="AC113" s="354" t="s">
        <v>468</v>
      </c>
      <c r="AD113" s="354" t="s">
        <v>467</v>
      </c>
      <c r="AE113" s="354"/>
      <c r="AF113" s="355" t="s">
        <v>591</v>
      </c>
      <c r="AG113" s="355"/>
      <c r="AH113" s="355"/>
      <c r="AI113" s="355" t="s">
        <v>591</v>
      </c>
      <c r="AJ113" s="356">
        <v>70</v>
      </c>
      <c r="AK113" s="356"/>
      <c r="AL113" s="356"/>
    </row>
    <row r="114" spans="1:38" ht="168" customHeight="1" thickBot="1">
      <c r="A114" s="239" t="s">
        <v>106</v>
      </c>
      <c r="B114" s="258" t="s">
        <v>324</v>
      </c>
      <c r="C114" s="247" t="s">
        <v>168</v>
      </c>
      <c r="D114" s="248" t="s">
        <v>171</v>
      </c>
      <c r="E114" s="249">
        <v>45231</v>
      </c>
      <c r="F114" s="268" t="s">
        <v>581</v>
      </c>
      <c r="G114" s="268"/>
      <c r="H114" s="269" t="s">
        <v>31</v>
      </c>
      <c r="I114" s="270"/>
      <c r="J114" s="271" t="s">
        <v>604</v>
      </c>
      <c r="K114" s="271"/>
      <c r="L114" s="272"/>
      <c r="M114" s="269" t="s">
        <v>31</v>
      </c>
      <c r="N114" s="270"/>
      <c r="O114" s="273" t="s">
        <v>727</v>
      </c>
      <c r="P114" s="273"/>
      <c r="Q114" s="328"/>
      <c r="R114" s="269" t="s">
        <v>22</v>
      </c>
      <c r="S114" s="270"/>
      <c r="T114" s="337" t="s">
        <v>921</v>
      </c>
      <c r="U114" s="359"/>
      <c r="V114" s="361" t="s">
        <v>22</v>
      </c>
      <c r="W114" s="362"/>
      <c r="X114" s="363"/>
      <c r="Y114" s="354" t="s">
        <v>835</v>
      </c>
      <c r="Z114" s="354" t="s">
        <v>393</v>
      </c>
      <c r="AA114" s="354" t="s">
        <v>412</v>
      </c>
      <c r="AB114" s="354" t="s">
        <v>110</v>
      </c>
      <c r="AC114" s="354" t="s">
        <v>467</v>
      </c>
      <c r="AD114" s="354"/>
      <c r="AE114" s="354"/>
      <c r="AF114" s="355"/>
      <c r="AG114" s="355"/>
      <c r="AH114" s="355"/>
      <c r="AI114" s="355" t="s">
        <v>591</v>
      </c>
      <c r="AJ114" s="356">
        <v>71</v>
      </c>
      <c r="AK114" s="356"/>
      <c r="AL114" s="356"/>
    </row>
    <row r="115" spans="1:38" ht="168" customHeight="1" thickBot="1">
      <c r="A115" s="239" t="s">
        <v>106</v>
      </c>
      <c r="B115" s="258" t="s">
        <v>325</v>
      </c>
      <c r="C115" s="247" t="s">
        <v>145</v>
      </c>
      <c r="D115" s="248" t="s">
        <v>146</v>
      </c>
      <c r="E115" s="249" t="s">
        <v>134</v>
      </c>
      <c r="F115" s="268" t="s">
        <v>499</v>
      </c>
      <c r="G115" s="268"/>
      <c r="H115" s="269" t="s">
        <v>32</v>
      </c>
      <c r="I115" s="270"/>
      <c r="J115" s="268" t="s">
        <v>708</v>
      </c>
      <c r="K115" s="271" t="s">
        <v>601</v>
      </c>
      <c r="L115" s="272" t="s">
        <v>603</v>
      </c>
      <c r="M115" s="269" t="s">
        <v>32</v>
      </c>
      <c r="N115" s="309"/>
      <c r="O115" s="328" t="s">
        <v>815</v>
      </c>
      <c r="P115" s="273" t="s">
        <v>741</v>
      </c>
      <c r="Q115" s="328" t="s">
        <v>742</v>
      </c>
      <c r="R115" s="269" t="s">
        <v>32</v>
      </c>
      <c r="S115" s="270"/>
      <c r="T115" s="346" t="s">
        <v>864</v>
      </c>
      <c r="U115" s="347" t="s">
        <v>866</v>
      </c>
      <c r="V115" s="361" t="s">
        <v>26</v>
      </c>
      <c r="W115" s="349" t="s">
        <v>875</v>
      </c>
      <c r="X115" s="353"/>
      <c r="Y115" s="354" t="s">
        <v>835</v>
      </c>
      <c r="Z115" s="354" t="s">
        <v>393</v>
      </c>
      <c r="AA115" s="354" t="s">
        <v>412</v>
      </c>
      <c r="AB115" s="354" t="s">
        <v>110</v>
      </c>
      <c r="AC115" s="354" t="s">
        <v>468</v>
      </c>
      <c r="AD115" s="354"/>
      <c r="AE115" s="354"/>
      <c r="AF115" s="355" t="s">
        <v>591</v>
      </c>
      <c r="AG115" s="355"/>
      <c r="AH115" s="355"/>
      <c r="AI115" s="355"/>
      <c r="AJ115" s="356">
        <v>72</v>
      </c>
      <c r="AK115" s="454" t="s">
        <v>940</v>
      </c>
      <c r="AL115" s="356"/>
    </row>
    <row r="116" spans="1:38" ht="168" customHeight="1" thickBot="1">
      <c r="A116" s="239" t="s">
        <v>106</v>
      </c>
      <c r="B116" s="258" t="s">
        <v>326</v>
      </c>
      <c r="C116" s="247" t="s">
        <v>85</v>
      </c>
      <c r="D116" s="248" t="s">
        <v>147</v>
      </c>
      <c r="E116" s="249" t="s">
        <v>134</v>
      </c>
      <c r="F116" s="268" t="s">
        <v>500</v>
      </c>
      <c r="G116" s="268"/>
      <c r="H116" s="269" t="s">
        <v>32</v>
      </c>
      <c r="I116" s="270"/>
      <c r="J116" s="272" t="s">
        <v>709</v>
      </c>
      <c r="K116" s="271" t="s">
        <v>600</v>
      </c>
      <c r="L116" s="272" t="s">
        <v>602</v>
      </c>
      <c r="M116" s="269" t="s">
        <v>32</v>
      </c>
      <c r="N116" s="270"/>
      <c r="O116" s="273" t="s">
        <v>816</v>
      </c>
      <c r="P116" s="273" t="s">
        <v>743</v>
      </c>
      <c r="Q116" s="328" t="s">
        <v>744</v>
      </c>
      <c r="R116" s="269" t="s">
        <v>32</v>
      </c>
      <c r="S116" s="270"/>
      <c r="T116" s="337" t="s">
        <v>865</v>
      </c>
      <c r="U116" s="347" t="s">
        <v>867</v>
      </c>
      <c r="V116" s="361" t="s">
        <v>24</v>
      </c>
      <c r="W116" s="349" t="s">
        <v>875</v>
      </c>
      <c r="X116" s="353"/>
      <c r="Y116" s="354" t="s">
        <v>835</v>
      </c>
      <c r="Z116" s="354" t="s">
        <v>393</v>
      </c>
      <c r="AA116" s="354" t="s">
        <v>412</v>
      </c>
      <c r="AB116" s="354" t="s">
        <v>110</v>
      </c>
      <c r="AC116" s="354" t="s">
        <v>468</v>
      </c>
      <c r="AD116" s="354"/>
      <c r="AE116" s="354"/>
      <c r="AF116" s="355" t="s">
        <v>591</v>
      </c>
      <c r="AG116" s="355"/>
      <c r="AH116" s="355"/>
      <c r="AI116" s="355"/>
      <c r="AJ116" s="356">
        <v>73</v>
      </c>
      <c r="AK116" s="454" t="s">
        <v>940</v>
      </c>
      <c r="AL116" s="356"/>
    </row>
    <row r="117" spans="1:38" ht="168" customHeight="1" thickBot="1">
      <c r="A117" s="239" t="s">
        <v>106</v>
      </c>
      <c r="B117" s="258" t="s">
        <v>327</v>
      </c>
      <c r="C117" s="247" t="s">
        <v>168</v>
      </c>
      <c r="D117" s="248" t="s">
        <v>172</v>
      </c>
      <c r="E117" s="249">
        <v>45352</v>
      </c>
      <c r="F117" s="268"/>
      <c r="G117" s="268"/>
      <c r="H117" s="269" t="s">
        <v>35</v>
      </c>
      <c r="I117" s="270"/>
      <c r="J117" s="272" t="s">
        <v>679</v>
      </c>
      <c r="K117" s="271"/>
      <c r="L117" s="272"/>
      <c r="M117" s="269" t="s">
        <v>31</v>
      </c>
      <c r="N117" s="270"/>
      <c r="O117" s="273" t="s">
        <v>817</v>
      </c>
      <c r="P117" s="273"/>
      <c r="Q117" s="328"/>
      <c r="R117" s="269" t="s">
        <v>31</v>
      </c>
      <c r="S117" s="270"/>
      <c r="T117" s="348" t="s">
        <v>857</v>
      </c>
      <c r="U117" s="359"/>
      <c r="V117" s="361" t="s">
        <v>22</v>
      </c>
      <c r="W117" s="362"/>
      <c r="X117" s="363"/>
      <c r="Y117" s="354" t="s">
        <v>835</v>
      </c>
      <c r="Z117" s="354" t="s">
        <v>393</v>
      </c>
      <c r="AA117" s="354" t="s">
        <v>412</v>
      </c>
      <c r="AB117" s="354" t="s">
        <v>110</v>
      </c>
      <c r="AC117" s="354" t="s">
        <v>468</v>
      </c>
      <c r="AD117" s="354"/>
      <c r="AE117" s="354"/>
      <c r="AF117" s="355" t="s">
        <v>591</v>
      </c>
      <c r="AG117" s="355"/>
      <c r="AH117" s="355"/>
      <c r="AI117" s="355"/>
      <c r="AJ117" s="356">
        <v>74</v>
      </c>
      <c r="AK117" s="356"/>
      <c r="AL117" s="356"/>
    </row>
    <row r="118" spans="1:38" ht="168" customHeight="1" thickBot="1">
      <c r="A118" s="239" t="s">
        <v>106</v>
      </c>
      <c r="B118" s="258" t="s">
        <v>328</v>
      </c>
      <c r="C118" s="247" t="s">
        <v>168</v>
      </c>
      <c r="D118" s="248" t="s">
        <v>173</v>
      </c>
      <c r="E118" s="249">
        <v>45352</v>
      </c>
      <c r="F118" s="268"/>
      <c r="G118" s="268"/>
      <c r="H118" s="269" t="s">
        <v>35</v>
      </c>
      <c r="I118" s="270"/>
      <c r="J118" s="272"/>
      <c r="K118" s="271"/>
      <c r="L118" s="272"/>
      <c r="M118" s="269" t="s">
        <v>35</v>
      </c>
      <c r="N118" s="270"/>
      <c r="O118" s="273" t="s">
        <v>818</v>
      </c>
      <c r="P118" s="273"/>
      <c r="Q118" s="328"/>
      <c r="R118" s="269" t="s">
        <v>31</v>
      </c>
      <c r="S118" s="270"/>
      <c r="T118" s="348" t="s">
        <v>858</v>
      </c>
      <c r="U118" s="381"/>
      <c r="V118" s="361" t="s">
        <v>22</v>
      </c>
      <c r="W118" s="362"/>
      <c r="X118" s="353"/>
      <c r="Y118" s="354" t="s">
        <v>835</v>
      </c>
      <c r="Z118" s="354" t="s">
        <v>393</v>
      </c>
      <c r="AA118" s="354" t="s">
        <v>412</v>
      </c>
      <c r="AB118" s="354" t="s">
        <v>110</v>
      </c>
      <c r="AC118" s="354" t="s">
        <v>467</v>
      </c>
      <c r="AD118" s="354" t="s">
        <v>468</v>
      </c>
      <c r="AE118" s="354"/>
      <c r="AF118" s="355" t="s">
        <v>591</v>
      </c>
      <c r="AG118" s="355"/>
      <c r="AH118" s="355"/>
      <c r="AI118" s="355" t="s">
        <v>591</v>
      </c>
      <c r="AJ118" s="356">
        <v>75</v>
      </c>
      <c r="AK118" s="356"/>
      <c r="AL118" s="356"/>
    </row>
    <row r="119" spans="1:38" ht="168" customHeight="1" thickBot="1">
      <c r="A119" s="239" t="s">
        <v>105</v>
      </c>
      <c r="B119" s="258" t="s">
        <v>230</v>
      </c>
      <c r="C119" s="247" t="s">
        <v>231</v>
      </c>
      <c r="D119" s="248" t="s">
        <v>232</v>
      </c>
      <c r="E119" s="249">
        <v>45352</v>
      </c>
      <c r="F119" s="268"/>
      <c r="G119" s="268"/>
      <c r="H119" s="269" t="s">
        <v>35</v>
      </c>
      <c r="I119" s="270"/>
      <c r="J119" s="272"/>
      <c r="K119" s="271"/>
      <c r="L119" s="272"/>
      <c r="M119" s="269" t="s">
        <v>35</v>
      </c>
      <c r="N119" s="270"/>
      <c r="O119" s="273" t="s">
        <v>819</v>
      </c>
      <c r="P119" s="273"/>
      <c r="Q119" s="328"/>
      <c r="R119" s="269" t="s">
        <v>35</v>
      </c>
      <c r="S119" s="270"/>
      <c r="T119" s="348" t="s">
        <v>876</v>
      </c>
      <c r="U119" s="359"/>
      <c r="V119" s="361" t="s">
        <v>22</v>
      </c>
      <c r="W119" s="362"/>
      <c r="X119" s="353"/>
      <c r="Y119" s="354" t="s">
        <v>834</v>
      </c>
      <c r="Z119" s="354" t="s">
        <v>386</v>
      </c>
      <c r="AA119" s="354" t="s">
        <v>404</v>
      </c>
      <c r="AB119" s="354" t="s">
        <v>109</v>
      </c>
      <c r="AC119" s="354" t="s">
        <v>467</v>
      </c>
      <c r="AD119" s="354" t="s">
        <v>201</v>
      </c>
      <c r="AE119" s="354"/>
      <c r="AF119" s="355"/>
      <c r="AG119" s="355"/>
      <c r="AH119" s="355" t="s">
        <v>591</v>
      </c>
      <c r="AI119" s="355" t="s">
        <v>591</v>
      </c>
      <c r="AJ119" s="356">
        <v>11</v>
      </c>
      <c r="AK119" s="356"/>
      <c r="AL119" s="356"/>
    </row>
    <row r="120" spans="1:38" ht="168" customHeight="1" thickBot="1">
      <c r="A120" s="239" t="s">
        <v>105</v>
      </c>
      <c r="B120" s="258" t="s">
        <v>245</v>
      </c>
      <c r="C120" s="247" t="s">
        <v>219</v>
      </c>
      <c r="D120" s="248" t="s">
        <v>246</v>
      </c>
      <c r="E120" s="249">
        <v>45352</v>
      </c>
      <c r="F120" s="268" t="s">
        <v>523</v>
      </c>
      <c r="G120" s="268"/>
      <c r="H120" s="269" t="s">
        <v>31</v>
      </c>
      <c r="I120" s="270"/>
      <c r="J120" s="272" t="s">
        <v>688</v>
      </c>
      <c r="K120" s="271"/>
      <c r="L120" s="272"/>
      <c r="M120" s="269" t="s">
        <v>31</v>
      </c>
      <c r="N120" s="270"/>
      <c r="O120" s="273" t="s">
        <v>721</v>
      </c>
      <c r="P120" s="273"/>
      <c r="Q120" s="328"/>
      <c r="R120" s="269" t="s">
        <v>31</v>
      </c>
      <c r="S120" s="270"/>
      <c r="T120" s="336" t="s">
        <v>877</v>
      </c>
      <c r="U120" s="392"/>
      <c r="V120" s="361" t="s">
        <v>26</v>
      </c>
      <c r="W120" s="362"/>
      <c r="X120" s="363"/>
      <c r="Y120" s="354" t="s">
        <v>837</v>
      </c>
      <c r="Z120" s="354" t="s">
        <v>386</v>
      </c>
      <c r="AA120" s="354" t="s">
        <v>405</v>
      </c>
      <c r="AB120" s="354" t="s">
        <v>202</v>
      </c>
      <c r="AC120" s="354" t="s">
        <v>468</v>
      </c>
      <c r="AD120" s="354" t="s">
        <v>572</v>
      </c>
      <c r="AE120" s="354"/>
      <c r="AF120" s="355" t="s">
        <v>591</v>
      </c>
      <c r="AG120" s="355" t="s">
        <v>591</v>
      </c>
      <c r="AH120" s="355"/>
      <c r="AI120" s="355"/>
      <c r="AJ120" s="356">
        <v>18</v>
      </c>
      <c r="AK120" s="356"/>
      <c r="AL120" s="356"/>
    </row>
    <row r="121" spans="1:38" ht="168" customHeight="1" thickBot="1">
      <c r="A121" s="239" t="s">
        <v>105</v>
      </c>
      <c r="B121" s="258" t="s">
        <v>253</v>
      </c>
      <c r="C121" s="247" t="s">
        <v>254</v>
      </c>
      <c r="D121" s="248" t="s">
        <v>255</v>
      </c>
      <c r="E121" s="253" t="s">
        <v>250</v>
      </c>
      <c r="F121" s="268" t="s">
        <v>582</v>
      </c>
      <c r="G121" s="268"/>
      <c r="H121" s="269" t="s">
        <v>31</v>
      </c>
      <c r="I121" s="270"/>
      <c r="J121" s="272" t="s">
        <v>689</v>
      </c>
      <c r="K121" s="271"/>
      <c r="L121" s="272"/>
      <c r="M121" s="269" t="s">
        <v>31</v>
      </c>
      <c r="N121" s="270"/>
      <c r="O121" s="273" t="s">
        <v>719</v>
      </c>
      <c r="P121" s="273"/>
      <c r="Q121" s="328"/>
      <c r="R121" s="269" t="s">
        <v>22</v>
      </c>
      <c r="S121" s="270"/>
      <c r="T121" s="337" t="s">
        <v>921</v>
      </c>
      <c r="U121" s="359"/>
      <c r="V121" s="361" t="s">
        <v>22</v>
      </c>
      <c r="W121" s="362"/>
      <c r="X121" s="353"/>
      <c r="Y121" s="354" t="s">
        <v>837</v>
      </c>
      <c r="Z121" s="354" t="s">
        <v>386</v>
      </c>
      <c r="AA121" s="354" t="s">
        <v>405</v>
      </c>
      <c r="AB121" s="354" t="s">
        <v>110</v>
      </c>
      <c r="AC121" s="354" t="s">
        <v>468</v>
      </c>
      <c r="AD121" s="354"/>
      <c r="AE121" s="354"/>
      <c r="AF121" s="355" t="s">
        <v>591</v>
      </c>
      <c r="AG121" s="355"/>
      <c r="AH121" s="355"/>
      <c r="AI121" s="355"/>
      <c r="AJ121" s="356">
        <v>21</v>
      </c>
      <c r="AK121" s="356"/>
      <c r="AL121" s="356"/>
    </row>
    <row r="122" spans="1:38" ht="168" customHeight="1" thickBot="1">
      <c r="A122" s="239" t="s">
        <v>105</v>
      </c>
      <c r="B122" s="258" t="s">
        <v>256</v>
      </c>
      <c r="C122" s="247" t="s">
        <v>254</v>
      </c>
      <c r="D122" s="248" t="s">
        <v>257</v>
      </c>
      <c r="E122" s="253" t="s">
        <v>250</v>
      </c>
      <c r="F122" s="268" t="s">
        <v>524</v>
      </c>
      <c r="G122" s="268"/>
      <c r="H122" s="269" t="s">
        <v>31</v>
      </c>
      <c r="I122" s="270"/>
      <c r="J122" s="272" t="s">
        <v>623</v>
      </c>
      <c r="K122" s="271"/>
      <c r="L122" s="272"/>
      <c r="M122" s="269" t="s">
        <v>31</v>
      </c>
      <c r="N122" s="270"/>
      <c r="O122" s="273" t="s">
        <v>820</v>
      </c>
      <c r="P122" s="273"/>
      <c r="Q122" s="328"/>
      <c r="R122" s="269" t="s">
        <v>22</v>
      </c>
      <c r="S122" s="270"/>
      <c r="T122" s="337" t="s">
        <v>921</v>
      </c>
      <c r="U122" s="359"/>
      <c r="V122" s="361" t="s">
        <v>22</v>
      </c>
      <c r="W122" s="362"/>
      <c r="X122" s="363"/>
      <c r="Y122" s="354" t="s">
        <v>837</v>
      </c>
      <c r="Z122" s="354" t="s">
        <v>386</v>
      </c>
      <c r="AA122" s="354" t="s">
        <v>405</v>
      </c>
      <c r="AB122" s="354" t="s">
        <v>110</v>
      </c>
      <c r="AC122" s="354" t="s">
        <v>468</v>
      </c>
      <c r="AD122" s="354"/>
      <c r="AE122" s="354"/>
      <c r="AF122" s="355" t="s">
        <v>591</v>
      </c>
      <c r="AG122" s="355"/>
      <c r="AH122" s="355"/>
      <c r="AI122" s="355"/>
      <c r="AJ122" s="356">
        <v>22</v>
      </c>
      <c r="AK122" s="356"/>
      <c r="AL122" s="356"/>
    </row>
    <row r="123" spans="1:38" ht="168" customHeight="1" thickBot="1">
      <c r="A123" s="239" t="s">
        <v>105</v>
      </c>
      <c r="B123" s="258" t="s">
        <v>258</v>
      </c>
      <c r="C123" s="247" t="s">
        <v>254</v>
      </c>
      <c r="D123" s="248" t="s">
        <v>259</v>
      </c>
      <c r="E123" s="253" t="s">
        <v>250</v>
      </c>
      <c r="F123" s="268"/>
      <c r="G123" s="268"/>
      <c r="H123" s="269" t="s">
        <v>35</v>
      </c>
      <c r="I123" s="270"/>
      <c r="J123" s="271"/>
      <c r="K123" s="271"/>
      <c r="L123" s="272"/>
      <c r="M123" s="269" t="s">
        <v>35</v>
      </c>
      <c r="N123" s="270"/>
      <c r="O123" s="273" t="s">
        <v>720</v>
      </c>
      <c r="P123" s="273"/>
      <c r="Q123" s="328"/>
      <c r="R123" s="269" t="s">
        <v>22</v>
      </c>
      <c r="S123" s="270"/>
      <c r="T123" s="337" t="s">
        <v>921</v>
      </c>
      <c r="U123" s="359"/>
      <c r="V123" s="361" t="s">
        <v>22</v>
      </c>
      <c r="W123" s="362"/>
      <c r="X123" s="363"/>
      <c r="Y123" s="354" t="s">
        <v>837</v>
      </c>
      <c r="Z123" s="354" t="s">
        <v>386</v>
      </c>
      <c r="AA123" s="354" t="s">
        <v>405</v>
      </c>
      <c r="AB123" s="354" t="s">
        <v>110</v>
      </c>
      <c r="AC123" s="354" t="s">
        <v>468</v>
      </c>
      <c r="AD123" s="354"/>
      <c r="AE123" s="354"/>
      <c r="AF123" s="355" t="s">
        <v>591</v>
      </c>
      <c r="AG123" s="355"/>
      <c r="AH123" s="355"/>
      <c r="AI123" s="355"/>
      <c r="AJ123" s="356">
        <v>23</v>
      </c>
      <c r="AK123" s="356"/>
      <c r="AL123" s="356"/>
    </row>
    <row r="124" spans="1:38" ht="168" customHeight="1" thickBot="1">
      <c r="A124" s="239" t="s">
        <v>105</v>
      </c>
      <c r="B124" s="258" t="s">
        <v>294</v>
      </c>
      <c r="C124" s="247" t="s">
        <v>156</v>
      </c>
      <c r="D124" s="248" t="s">
        <v>157</v>
      </c>
      <c r="E124" s="249">
        <v>45352</v>
      </c>
      <c r="F124" s="268"/>
      <c r="G124" s="268"/>
      <c r="H124" s="269" t="s">
        <v>35</v>
      </c>
      <c r="I124" s="270"/>
      <c r="J124" s="272" t="s">
        <v>680</v>
      </c>
      <c r="K124" s="271"/>
      <c r="L124" s="272"/>
      <c r="M124" s="269" t="s">
        <v>31</v>
      </c>
      <c r="N124" s="270"/>
      <c r="O124" s="273" t="s">
        <v>722</v>
      </c>
      <c r="P124" s="273"/>
      <c r="Q124" s="328"/>
      <c r="R124" s="269" t="s">
        <v>31</v>
      </c>
      <c r="S124" s="270"/>
      <c r="T124" s="348" t="s">
        <v>878</v>
      </c>
      <c r="U124" s="359"/>
      <c r="V124" s="361" t="s">
        <v>22</v>
      </c>
      <c r="W124" s="362"/>
      <c r="X124" s="363"/>
      <c r="Y124" s="354" t="s">
        <v>837</v>
      </c>
      <c r="Z124" s="354" t="s">
        <v>386</v>
      </c>
      <c r="AA124" s="354" t="s">
        <v>412</v>
      </c>
      <c r="AB124" s="354" t="s">
        <v>202</v>
      </c>
      <c r="AC124" s="354" t="s">
        <v>468</v>
      </c>
      <c r="AD124" s="354" t="s">
        <v>572</v>
      </c>
      <c r="AE124" s="354"/>
      <c r="AF124" s="355" t="s">
        <v>591</v>
      </c>
      <c r="AG124" s="355" t="s">
        <v>591</v>
      </c>
      <c r="AH124" s="355"/>
      <c r="AI124" s="355"/>
      <c r="AJ124" s="356">
        <v>40</v>
      </c>
      <c r="AK124" s="356"/>
      <c r="AL124" s="356"/>
    </row>
    <row r="125" spans="1:38" ht="168" customHeight="1" thickBot="1">
      <c r="A125" s="239" t="s">
        <v>105</v>
      </c>
      <c r="B125" s="258" t="s">
        <v>300</v>
      </c>
      <c r="C125" s="247" t="s">
        <v>296</v>
      </c>
      <c r="D125" s="248" t="s">
        <v>158</v>
      </c>
      <c r="E125" s="249">
        <v>45170</v>
      </c>
      <c r="F125" s="268" t="s">
        <v>525</v>
      </c>
      <c r="G125" s="268"/>
      <c r="H125" s="269" t="s">
        <v>31</v>
      </c>
      <c r="I125" s="270"/>
      <c r="J125" s="281" t="s">
        <v>624</v>
      </c>
      <c r="K125" s="326"/>
      <c r="L125" s="280"/>
      <c r="M125" s="269" t="s">
        <v>22</v>
      </c>
      <c r="N125" s="270"/>
      <c r="O125" s="281" t="s">
        <v>821</v>
      </c>
      <c r="P125" s="326"/>
      <c r="Q125" s="280"/>
      <c r="R125" s="269" t="s">
        <v>22</v>
      </c>
      <c r="S125" s="270"/>
      <c r="T125" s="365" t="s">
        <v>772</v>
      </c>
      <c r="U125" s="366"/>
      <c r="V125" s="361" t="s">
        <v>22</v>
      </c>
      <c r="W125" s="367"/>
      <c r="X125" s="363"/>
      <c r="Y125" s="354" t="s">
        <v>837</v>
      </c>
      <c r="Z125" s="354" t="s">
        <v>386</v>
      </c>
      <c r="AA125" s="354" t="s">
        <v>412</v>
      </c>
      <c r="AB125" s="354" t="s">
        <v>202</v>
      </c>
      <c r="AC125" s="354" t="s">
        <v>572</v>
      </c>
      <c r="AD125" s="354"/>
      <c r="AE125" s="354"/>
      <c r="AF125" s="355"/>
      <c r="AG125" s="355" t="s">
        <v>591</v>
      </c>
      <c r="AH125" s="355"/>
      <c r="AI125" s="355"/>
      <c r="AJ125" s="356">
        <v>44</v>
      </c>
      <c r="AK125" s="356"/>
      <c r="AL125" s="356"/>
    </row>
    <row r="126" spans="1:38" ht="168" customHeight="1" thickBot="1">
      <c r="A126" s="239" t="s">
        <v>105</v>
      </c>
      <c r="B126" s="258" t="s">
        <v>306</v>
      </c>
      <c r="C126" s="247" t="s">
        <v>162</v>
      </c>
      <c r="D126" s="248" t="s">
        <v>199</v>
      </c>
      <c r="E126" s="249" t="s">
        <v>134</v>
      </c>
      <c r="F126" s="286"/>
      <c r="G126" s="268"/>
      <c r="H126" s="269" t="s">
        <v>35</v>
      </c>
      <c r="I126" s="287"/>
      <c r="J126" s="339" t="s">
        <v>681</v>
      </c>
      <c r="K126" s="339"/>
      <c r="L126" s="340"/>
      <c r="M126" s="341" t="s">
        <v>31</v>
      </c>
      <c r="N126" s="316"/>
      <c r="O126" s="342" t="s">
        <v>718</v>
      </c>
      <c r="P126" s="342"/>
      <c r="Q126" s="343"/>
      <c r="R126" s="341" t="s">
        <v>31</v>
      </c>
      <c r="S126" s="316"/>
      <c r="T126" s="382" t="s">
        <v>879</v>
      </c>
      <c r="U126" s="359"/>
      <c r="V126" s="361" t="s">
        <v>22</v>
      </c>
      <c r="W126" s="352" t="s">
        <v>925</v>
      </c>
      <c r="X126" s="353"/>
      <c r="Y126" s="354" t="s">
        <v>837</v>
      </c>
      <c r="Z126" s="354" t="s">
        <v>386</v>
      </c>
      <c r="AA126" s="354" t="s">
        <v>412</v>
      </c>
      <c r="AB126" s="354" t="s">
        <v>202</v>
      </c>
      <c r="AC126" s="354" t="s">
        <v>572</v>
      </c>
      <c r="AD126" s="354" t="s">
        <v>467</v>
      </c>
      <c r="AE126" s="354"/>
      <c r="AF126" s="355"/>
      <c r="AG126" s="355" t="s">
        <v>591</v>
      </c>
      <c r="AH126" s="355"/>
      <c r="AI126" s="355" t="s">
        <v>591</v>
      </c>
      <c r="AJ126" s="356">
        <v>50</v>
      </c>
      <c r="AK126" s="356"/>
      <c r="AL126" s="356"/>
    </row>
    <row r="127" spans="1:38" ht="168" customHeight="1" thickBot="1">
      <c r="A127" s="239" t="s">
        <v>105</v>
      </c>
      <c r="B127" s="258" t="s">
        <v>307</v>
      </c>
      <c r="C127" s="247" t="s">
        <v>91</v>
      </c>
      <c r="D127" s="248" t="s">
        <v>152</v>
      </c>
      <c r="E127" s="249">
        <v>45139</v>
      </c>
      <c r="F127" s="268" t="s">
        <v>568</v>
      </c>
      <c r="G127" s="268"/>
      <c r="H127" s="269" t="s">
        <v>31</v>
      </c>
      <c r="I127" s="270"/>
      <c r="J127" s="271" t="s">
        <v>682</v>
      </c>
      <c r="K127" s="271"/>
      <c r="L127" s="272"/>
      <c r="M127" s="269" t="s">
        <v>22</v>
      </c>
      <c r="N127" s="270"/>
      <c r="O127" s="281" t="s">
        <v>821</v>
      </c>
      <c r="P127" s="273"/>
      <c r="Q127" s="328"/>
      <c r="R127" s="269" t="s">
        <v>22</v>
      </c>
      <c r="S127" s="270"/>
      <c r="T127" s="364" t="s">
        <v>772</v>
      </c>
      <c r="U127" s="359"/>
      <c r="V127" s="361" t="s">
        <v>22</v>
      </c>
      <c r="W127" s="362"/>
      <c r="X127" s="353"/>
      <c r="Y127" s="354" t="s">
        <v>837</v>
      </c>
      <c r="Z127" s="354" t="s">
        <v>386</v>
      </c>
      <c r="AA127" s="354" t="s">
        <v>412</v>
      </c>
      <c r="AB127" s="354" t="s">
        <v>110</v>
      </c>
      <c r="AC127" s="354" t="s">
        <v>468</v>
      </c>
      <c r="AD127" s="354"/>
      <c r="AE127" s="354"/>
      <c r="AF127" s="355" t="s">
        <v>591</v>
      </c>
      <c r="AG127" s="355"/>
      <c r="AH127" s="355"/>
      <c r="AI127" s="355"/>
      <c r="AJ127" s="356">
        <v>51</v>
      </c>
      <c r="AK127" s="356"/>
      <c r="AL127" s="356"/>
    </row>
    <row r="128" spans="1:38" ht="168" customHeight="1" thickBot="1">
      <c r="A128" s="239" t="s">
        <v>105</v>
      </c>
      <c r="B128" s="258" t="s">
        <v>308</v>
      </c>
      <c r="C128" s="247" t="s">
        <v>91</v>
      </c>
      <c r="D128" s="248" t="s">
        <v>154</v>
      </c>
      <c r="E128" s="249">
        <v>45352</v>
      </c>
      <c r="F128" s="268" t="s">
        <v>569</v>
      </c>
      <c r="G128" s="268"/>
      <c r="H128" s="269" t="s">
        <v>31</v>
      </c>
      <c r="I128" s="270"/>
      <c r="J128" s="271" t="s">
        <v>625</v>
      </c>
      <c r="K128" s="271"/>
      <c r="L128" s="272"/>
      <c r="M128" s="269" t="s">
        <v>31</v>
      </c>
      <c r="N128" s="270"/>
      <c r="O128" s="273" t="s">
        <v>822</v>
      </c>
      <c r="P128" s="273"/>
      <c r="Q128" s="328"/>
      <c r="R128" s="269" t="s">
        <v>31</v>
      </c>
      <c r="S128" s="270"/>
      <c r="T128" s="348" t="s">
        <v>880</v>
      </c>
      <c r="U128" s="364"/>
      <c r="V128" s="361" t="s">
        <v>22</v>
      </c>
      <c r="W128" s="362"/>
      <c r="X128" s="353"/>
      <c r="Y128" s="354" t="s">
        <v>837</v>
      </c>
      <c r="Z128" s="354" t="s">
        <v>386</v>
      </c>
      <c r="AA128" s="354" t="s">
        <v>412</v>
      </c>
      <c r="AB128" s="354" t="s">
        <v>110</v>
      </c>
      <c r="AC128" s="354" t="s">
        <v>468</v>
      </c>
      <c r="AD128" s="354"/>
      <c r="AE128" s="354"/>
      <c r="AF128" s="355" t="s">
        <v>591</v>
      </c>
      <c r="AG128" s="355"/>
      <c r="AH128" s="355"/>
      <c r="AI128" s="355"/>
      <c r="AJ128" s="356">
        <v>52</v>
      </c>
      <c r="AK128" s="356"/>
      <c r="AL128" s="356"/>
    </row>
    <row r="129" spans="1:38" ht="168" customHeight="1" thickBot="1">
      <c r="A129" s="239" t="s">
        <v>105</v>
      </c>
      <c r="B129" s="258" t="s">
        <v>309</v>
      </c>
      <c r="C129" s="247" t="s">
        <v>91</v>
      </c>
      <c r="D129" s="248" t="s">
        <v>203</v>
      </c>
      <c r="E129" s="249" t="s">
        <v>155</v>
      </c>
      <c r="F129" s="268"/>
      <c r="G129" s="268"/>
      <c r="H129" s="269" t="s">
        <v>35</v>
      </c>
      <c r="I129" s="287"/>
      <c r="J129" s="271" t="s">
        <v>626</v>
      </c>
      <c r="K129" s="271"/>
      <c r="L129" s="272"/>
      <c r="M129" s="269" t="s">
        <v>31</v>
      </c>
      <c r="N129" s="270"/>
      <c r="O129" s="276" t="s">
        <v>723</v>
      </c>
      <c r="P129" s="273"/>
      <c r="Q129" s="328"/>
      <c r="R129" s="269" t="s">
        <v>31</v>
      </c>
      <c r="S129" s="270"/>
      <c r="T129" s="348" t="s">
        <v>881</v>
      </c>
      <c r="U129" s="364"/>
      <c r="V129" s="361" t="s">
        <v>22</v>
      </c>
      <c r="W129" s="364"/>
      <c r="X129" s="353"/>
      <c r="Y129" s="354" t="s">
        <v>837</v>
      </c>
      <c r="Z129" s="354" t="s">
        <v>386</v>
      </c>
      <c r="AA129" s="354" t="s">
        <v>412</v>
      </c>
      <c r="AB129" s="354" t="s">
        <v>110</v>
      </c>
      <c r="AC129" s="354" t="s">
        <v>468</v>
      </c>
      <c r="AD129" s="354"/>
      <c r="AE129" s="354"/>
      <c r="AF129" s="355" t="s">
        <v>591</v>
      </c>
      <c r="AG129" s="355"/>
      <c r="AH129" s="355"/>
      <c r="AI129" s="355"/>
      <c r="AJ129" s="356">
        <v>53</v>
      </c>
      <c r="AK129" s="356"/>
      <c r="AL129" s="356"/>
    </row>
    <row r="130" spans="1:38" ht="168" customHeight="1" thickBot="1">
      <c r="A130" s="239" t="s">
        <v>105</v>
      </c>
      <c r="B130" s="258" t="s">
        <v>311</v>
      </c>
      <c r="C130" s="247" t="s">
        <v>91</v>
      </c>
      <c r="D130" s="248" t="s">
        <v>153</v>
      </c>
      <c r="E130" s="249">
        <v>45231</v>
      </c>
      <c r="F130" s="268" t="s">
        <v>525</v>
      </c>
      <c r="G130" s="268"/>
      <c r="H130" s="269" t="s">
        <v>31</v>
      </c>
      <c r="I130" s="270"/>
      <c r="J130" s="276" t="s">
        <v>627</v>
      </c>
      <c r="K130" s="276"/>
      <c r="L130" s="277"/>
      <c r="M130" s="269" t="s">
        <v>31</v>
      </c>
      <c r="N130" s="278"/>
      <c r="O130" s="273" t="s">
        <v>724</v>
      </c>
      <c r="P130" s="273"/>
      <c r="Q130" s="328"/>
      <c r="R130" s="269" t="s">
        <v>22</v>
      </c>
      <c r="S130" s="278"/>
      <c r="T130" s="336" t="s">
        <v>921</v>
      </c>
      <c r="U130" s="357"/>
      <c r="V130" s="361" t="s">
        <v>22</v>
      </c>
      <c r="W130" s="358"/>
      <c r="X130" s="353"/>
      <c r="Y130" s="354" t="s">
        <v>837</v>
      </c>
      <c r="Z130" s="354" t="s">
        <v>386</v>
      </c>
      <c r="AA130" s="354" t="s">
        <v>412</v>
      </c>
      <c r="AB130" s="354" t="s">
        <v>110</v>
      </c>
      <c r="AC130" s="354" t="s">
        <v>468</v>
      </c>
      <c r="AD130" s="354"/>
      <c r="AE130" s="354"/>
      <c r="AF130" s="355" t="s">
        <v>591</v>
      </c>
      <c r="AG130" s="355"/>
      <c r="AH130" s="355"/>
      <c r="AI130" s="355"/>
      <c r="AJ130" s="356">
        <v>55</v>
      </c>
      <c r="AK130" s="356"/>
      <c r="AL130" s="356"/>
    </row>
    <row r="131" spans="1:38" ht="168" customHeight="1" thickBot="1">
      <c r="A131" s="239" t="s">
        <v>409</v>
      </c>
      <c r="B131" s="258" t="s">
        <v>362</v>
      </c>
      <c r="C131" s="247" t="s">
        <v>4</v>
      </c>
      <c r="D131" s="248" t="s">
        <v>88</v>
      </c>
      <c r="E131" s="249" t="s">
        <v>100</v>
      </c>
      <c r="F131" s="295" t="s">
        <v>491</v>
      </c>
      <c r="G131" s="268"/>
      <c r="H131" s="269" t="s">
        <v>31</v>
      </c>
      <c r="I131" s="270"/>
      <c r="J131" s="276" t="s">
        <v>712</v>
      </c>
      <c r="K131" s="276"/>
      <c r="L131" s="276"/>
      <c r="M131" s="269" t="s">
        <v>31</v>
      </c>
      <c r="N131" s="278"/>
      <c r="O131" s="276" t="s">
        <v>730</v>
      </c>
      <c r="P131" s="273"/>
      <c r="Q131" s="328"/>
      <c r="R131" s="269" t="s">
        <v>31</v>
      </c>
      <c r="S131" s="278"/>
      <c r="T131" s="336" t="s">
        <v>868</v>
      </c>
      <c r="U131" s="391">
        <v>1</v>
      </c>
      <c r="V131" s="361" t="s">
        <v>22</v>
      </c>
      <c r="W131" s="358" t="s">
        <v>930</v>
      </c>
      <c r="X131" s="363"/>
      <c r="Y131" s="354" t="s">
        <v>201</v>
      </c>
      <c r="Z131" s="354" t="s">
        <v>388</v>
      </c>
      <c r="AA131" s="354" t="s">
        <v>412</v>
      </c>
      <c r="AB131" s="354" t="s">
        <v>201</v>
      </c>
      <c r="AC131" s="354" t="s">
        <v>467</v>
      </c>
      <c r="AD131" s="354" t="s">
        <v>201</v>
      </c>
      <c r="AE131" s="354"/>
      <c r="AF131" s="355"/>
      <c r="AG131" s="355"/>
      <c r="AH131" s="355" t="s">
        <v>591</v>
      </c>
      <c r="AI131" s="355" t="s">
        <v>591</v>
      </c>
      <c r="AJ131" s="356">
        <v>105</v>
      </c>
      <c r="AK131" s="356"/>
      <c r="AL131" s="356"/>
    </row>
    <row r="132" spans="1:38" ht="168" customHeight="1" thickBot="1">
      <c r="A132" s="239" t="s">
        <v>409</v>
      </c>
      <c r="B132" s="258" t="s">
        <v>363</v>
      </c>
      <c r="C132" s="247" t="s">
        <v>6</v>
      </c>
      <c r="D132" s="248" t="s">
        <v>88</v>
      </c>
      <c r="E132" s="249" t="s">
        <v>100</v>
      </c>
      <c r="F132" s="286" t="s">
        <v>493</v>
      </c>
      <c r="G132" s="268"/>
      <c r="H132" s="269" t="s">
        <v>31</v>
      </c>
      <c r="I132" s="270"/>
      <c r="J132" s="271" t="s">
        <v>713</v>
      </c>
      <c r="K132" s="271"/>
      <c r="L132" s="272"/>
      <c r="M132" s="269" t="s">
        <v>31</v>
      </c>
      <c r="N132" s="270"/>
      <c r="O132" s="271" t="s">
        <v>731</v>
      </c>
      <c r="P132" s="273"/>
      <c r="Q132" s="328"/>
      <c r="R132" s="269" t="s">
        <v>31</v>
      </c>
      <c r="S132" s="270"/>
      <c r="T132" s="348" t="s">
        <v>869</v>
      </c>
      <c r="U132" s="350">
        <v>0.93</v>
      </c>
      <c r="V132" s="361" t="s">
        <v>23</v>
      </c>
      <c r="W132" s="352" t="s">
        <v>928</v>
      </c>
      <c r="X132" s="353"/>
      <c r="Y132" s="354" t="s">
        <v>201</v>
      </c>
      <c r="Z132" s="354" t="s">
        <v>388</v>
      </c>
      <c r="AA132" s="354" t="s">
        <v>412</v>
      </c>
      <c r="AB132" s="354" t="s">
        <v>201</v>
      </c>
      <c r="AC132" s="354" t="s">
        <v>467</v>
      </c>
      <c r="AD132" s="354" t="s">
        <v>201</v>
      </c>
      <c r="AE132" s="354"/>
      <c r="AF132" s="355"/>
      <c r="AG132" s="355"/>
      <c r="AH132" s="355" t="s">
        <v>591</v>
      </c>
      <c r="AI132" s="355" t="s">
        <v>591</v>
      </c>
      <c r="AJ132" s="356">
        <v>106</v>
      </c>
      <c r="AK132" s="356"/>
      <c r="AL132" s="356"/>
    </row>
    <row r="133" spans="1:38" ht="168" customHeight="1" thickBot="1">
      <c r="A133" s="239" t="s">
        <v>409</v>
      </c>
      <c r="B133" s="258" t="s">
        <v>364</v>
      </c>
      <c r="C133" s="247" t="s">
        <v>7</v>
      </c>
      <c r="D133" s="248" t="s">
        <v>5</v>
      </c>
      <c r="E133" s="249" t="s">
        <v>100</v>
      </c>
      <c r="F133" s="268" t="s">
        <v>492</v>
      </c>
      <c r="G133" s="268"/>
      <c r="H133" s="269" t="s">
        <v>31</v>
      </c>
      <c r="I133" s="270"/>
      <c r="J133" s="271" t="s">
        <v>714</v>
      </c>
      <c r="K133" s="271"/>
      <c r="L133" s="272"/>
      <c r="M133" s="269" t="s">
        <v>31</v>
      </c>
      <c r="N133" s="270"/>
      <c r="O133" s="271" t="s">
        <v>732</v>
      </c>
      <c r="P133" s="273"/>
      <c r="Q133" s="328"/>
      <c r="R133" s="269" t="s">
        <v>32</v>
      </c>
      <c r="S133" s="270"/>
      <c r="T133" s="348" t="s">
        <v>870</v>
      </c>
      <c r="U133" s="351">
        <v>0.92</v>
      </c>
      <c r="V133" s="361" t="s">
        <v>23</v>
      </c>
      <c r="W133" s="352" t="s">
        <v>929</v>
      </c>
      <c r="X133" s="353"/>
      <c r="Y133" s="354" t="s">
        <v>201</v>
      </c>
      <c r="Z133" s="354" t="s">
        <v>388</v>
      </c>
      <c r="AA133" s="354" t="s">
        <v>412</v>
      </c>
      <c r="AB133" s="354" t="s">
        <v>201</v>
      </c>
      <c r="AC133" s="354" t="s">
        <v>467</v>
      </c>
      <c r="AD133" s="354" t="s">
        <v>201</v>
      </c>
      <c r="AE133" s="354"/>
      <c r="AF133" s="355"/>
      <c r="AG133" s="355"/>
      <c r="AH133" s="355" t="s">
        <v>591</v>
      </c>
      <c r="AI133" s="355" t="s">
        <v>591</v>
      </c>
      <c r="AJ133" s="356">
        <v>107</v>
      </c>
      <c r="AK133" s="356"/>
      <c r="AL133" s="356"/>
    </row>
    <row r="134" spans="1:38" ht="168" customHeight="1" thickBot="1">
      <c r="A134" s="239" t="s">
        <v>409</v>
      </c>
      <c r="B134" s="258" t="s">
        <v>365</v>
      </c>
      <c r="C134" s="247" t="s">
        <v>90</v>
      </c>
      <c r="D134" s="248" t="s">
        <v>186</v>
      </c>
      <c r="E134" s="249">
        <v>45078</v>
      </c>
      <c r="F134" s="288" t="s">
        <v>494</v>
      </c>
      <c r="G134" s="268"/>
      <c r="H134" s="269" t="s">
        <v>31</v>
      </c>
      <c r="I134" s="270"/>
      <c r="J134" s="311" t="s">
        <v>683</v>
      </c>
      <c r="K134" s="312"/>
      <c r="L134" s="306"/>
      <c r="M134" s="269" t="s">
        <v>31</v>
      </c>
      <c r="N134" s="278"/>
      <c r="O134" s="311" t="s">
        <v>733</v>
      </c>
      <c r="P134" s="273"/>
      <c r="Q134" s="328"/>
      <c r="R134" s="269" t="s">
        <v>31</v>
      </c>
      <c r="S134" s="278"/>
      <c r="T134" s="375" t="s">
        <v>871</v>
      </c>
      <c r="U134" s="387"/>
      <c r="V134" s="361" t="s">
        <v>22</v>
      </c>
      <c r="W134" s="358"/>
      <c r="X134" s="363"/>
      <c r="Y134" s="354" t="s">
        <v>201</v>
      </c>
      <c r="Z134" s="354" t="s">
        <v>388</v>
      </c>
      <c r="AA134" s="354" t="s">
        <v>412</v>
      </c>
      <c r="AB134" s="354" t="s">
        <v>201</v>
      </c>
      <c r="AC134" s="354" t="s">
        <v>467</v>
      </c>
      <c r="AD134" s="354"/>
      <c r="AE134" s="354"/>
      <c r="AF134" s="355"/>
      <c r="AG134" s="355"/>
      <c r="AH134" s="355"/>
      <c r="AI134" s="355" t="s">
        <v>591</v>
      </c>
      <c r="AJ134" s="356">
        <v>108</v>
      </c>
      <c r="AK134" s="356"/>
      <c r="AL134" s="356"/>
    </row>
    <row r="135" spans="1:38" ht="97.9" customHeight="1">
      <c r="T135" s="393"/>
      <c r="U135" s="393"/>
      <c r="V135" s="393"/>
      <c r="W135" s="393"/>
      <c r="X135" s="394"/>
      <c r="Y135" s="393"/>
      <c r="Z135" s="395"/>
      <c r="AA135" s="395"/>
      <c r="AB135" s="393"/>
      <c r="AC135" s="393"/>
      <c r="AD135" s="393"/>
      <c r="AE135" s="393"/>
      <c r="AF135" s="394">
        <v>34</v>
      </c>
      <c r="AG135" s="394">
        <v>24</v>
      </c>
      <c r="AH135" s="394">
        <v>46</v>
      </c>
      <c r="AI135" s="394">
        <v>57</v>
      </c>
      <c r="AJ135" s="394"/>
      <c r="AK135" s="356"/>
      <c r="AL135" s="356"/>
    </row>
    <row r="136" spans="1:38" ht="97.9" customHeight="1">
      <c r="T136" s="393"/>
      <c r="U136" s="393"/>
      <c r="V136" s="393"/>
      <c r="W136" s="393"/>
      <c r="X136" s="394"/>
      <c r="Y136" s="393"/>
      <c r="Z136" s="395"/>
      <c r="AA136" s="395"/>
      <c r="AB136" s="393"/>
      <c r="AC136" s="393"/>
      <c r="AD136" s="393"/>
      <c r="AE136" s="393"/>
      <c r="AF136" s="393"/>
      <c r="AG136" s="393"/>
      <c r="AH136" s="393"/>
      <c r="AI136" s="393"/>
      <c r="AJ136" s="394"/>
      <c r="AK136" s="356"/>
      <c r="AL136" s="356"/>
    </row>
    <row r="137" spans="1:38" ht="97.9" customHeight="1">
      <c r="T137" s="393"/>
      <c r="U137" s="393"/>
      <c r="V137" s="393"/>
      <c r="W137" s="393"/>
      <c r="X137" s="394"/>
      <c r="Y137" s="393"/>
      <c r="Z137" s="395"/>
      <c r="AA137" s="395"/>
      <c r="AB137" s="393"/>
      <c r="AC137" s="393"/>
      <c r="AD137" s="393"/>
      <c r="AE137" s="393"/>
      <c r="AF137" s="393"/>
      <c r="AG137" s="393"/>
      <c r="AH137" s="393"/>
      <c r="AI137" s="393"/>
      <c r="AJ137" s="394"/>
      <c r="AK137" s="356"/>
      <c r="AL137" s="356"/>
    </row>
    <row r="153" spans="1:1" ht="97.9" customHeight="1">
      <c r="A153" s="241" t="s">
        <v>21</v>
      </c>
    </row>
    <row r="154" spans="1:1" ht="97.9" customHeight="1">
      <c r="A154" s="241" t="s">
        <v>22</v>
      </c>
    </row>
    <row r="155" spans="1:1" ht="97.9" customHeight="1">
      <c r="A155" s="241" t="s">
        <v>23</v>
      </c>
    </row>
    <row r="156" spans="1:1" ht="97.9" customHeight="1">
      <c r="A156" s="241" t="s">
        <v>24</v>
      </c>
    </row>
    <row r="157" spans="1:1" ht="97.9" customHeight="1">
      <c r="A157" s="241" t="s">
        <v>25</v>
      </c>
    </row>
    <row r="158" spans="1:1" ht="97.9" customHeight="1">
      <c r="A158" s="241" t="s">
        <v>26</v>
      </c>
    </row>
    <row r="159" spans="1:1" ht="97.9" customHeight="1">
      <c r="A159" s="241" t="s">
        <v>27</v>
      </c>
    </row>
    <row r="160" spans="1:1" ht="97.9" customHeight="1">
      <c r="A160" s="241" t="s">
        <v>28</v>
      </c>
    </row>
    <row r="161" spans="1:1" ht="97.9" customHeight="1">
      <c r="A161" s="241" t="s">
        <v>29</v>
      </c>
    </row>
    <row r="162" spans="1:1" ht="97.9" customHeight="1">
      <c r="A162" s="241" t="s">
        <v>30</v>
      </c>
    </row>
    <row r="163" spans="1:1" ht="97.9" customHeight="1">
      <c r="A163" s="232"/>
    </row>
    <row r="164" spans="1:1" ht="97.9" customHeight="1">
      <c r="A164" s="232"/>
    </row>
    <row r="165" spans="1:1" ht="97.9" customHeight="1">
      <c r="A165" s="232"/>
    </row>
    <row r="166" spans="1:1" ht="97.9" customHeight="1">
      <c r="A166" s="233"/>
    </row>
    <row r="167" spans="1:1" ht="97.9" customHeight="1">
      <c r="A167" s="233"/>
    </row>
    <row r="168" spans="1:1" ht="97.9" customHeight="1">
      <c r="A168" s="232"/>
    </row>
    <row r="169" spans="1:1" ht="97.9" customHeight="1">
      <c r="A169" s="232"/>
    </row>
    <row r="170" spans="1:1" ht="97.9" customHeight="1">
      <c r="A170" s="232"/>
    </row>
    <row r="171" spans="1:1" ht="97.9" customHeight="1">
      <c r="A171" s="234" t="s">
        <v>22</v>
      </c>
    </row>
    <row r="172" spans="1:1" ht="97.9" customHeight="1">
      <c r="A172" s="234" t="s">
        <v>31</v>
      </c>
    </row>
    <row r="173" spans="1:1" ht="97.9" customHeight="1">
      <c r="A173" s="234" t="s">
        <v>32</v>
      </c>
    </row>
    <row r="174" spans="1:1" ht="97.9" customHeight="1">
      <c r="A174" s="234" t="s">
        <v>26</v>
      </c>
    </row>
    <row r="175" spans="1:1" ht="97.9" customHeight="1">
      <c r="A175" s="234" t="s">
        <v>33</v>
      </c>
    </row>
    <row r="176" spans="1:1" ht="97.9" customHeight="1">
      <c r="A176" s="242" t="s">
        <v>30</v>
      </c>
    </row>
    <row r="177" spans="1:1" ht="97.9" customHeight="1">
      <c r="A177" s="234" t="s">
        <v>35</v>
      </c>
    </row>
    <row r="178" spans="1:1" ht="97.9" customHeight="1">
      <c r="A178" s="234" t="s">
        <v>34</v>
      </c>
    </row>
    <row r="179" spans="1:1" ht="97.9" customHeight="1">
      <c r="A179" s="234" t="s">
        <v>29</v>
      </c>
    </row>
  </sheetData>
  <sheetProtection autoFilter="0" pivotTables="0"/>
  <autoFilter ref="A2:AJ136"/>
  <sortState ref="A3:AK134">
    <sortCondition ref="AJ3:AJ134"/>
  </sortState>
  <mergeCells count="6">
    <mergeCell ref="AF1:AI1"/>
    <mergeCell ref="F1:I1"/>
    <mergeCell ref="J1:N1"/>
    <mergeCell ref="O1:S1"/>
    <mergeCell ref="T1:W1"/>
    <mergeCell ref="AC1:AE1"/>
  </mergeCells>
  <conditionalFormatting sqref="H3:H13 H125:H134 H123 R123 H120 H114:H117 R114:R117 H69:H87 H89:H112 H15:H65 M3:M128 M133:M134 R3:R13 R69:R87 R89:R112 R125:R134 R15:R65 R120">
    <cfRule type="containsText" dxfId="4198" priority="2269" operator="containsText" text="Deferred">
      <formula>NOT(ISERROR(SEARCH("Deferred",H3)))</formula>
    </cfRule>
    <cfRule type="containsText" dxfId="4197" priority="2271" operator="containsText" text="Update Not Provided">
      <formula>NOT(ISERROR(SEARCH("Update Not Provided",H3)))</formula>
    </cfRule>
    <cfRule type="containsText" dxfId="4196" priority="2272" operator="containsText" text="Not Yet Due">
      <formula>NOT(ISERROR(SEARCH("Not Yet Due",H3)))</formula>
    </cfRule>
    <cfRule type="containsText" dxfId="4195" priority="2273" operator="containsText" text="Deleted">
      <formula>NOT(ISERROR(SEARCH("Deleted",H3)))</formula>
    </cfRule>
    <cfRule type="containsText" dxfId="4194" priority="2274" operator="containsText" text="Completed Behind Schedule">
      <formula>NOT(ISERROR(SEARCH("Completed Behind Schedule",H3)))</formula>
    </cfRule>
    <cfRule type="containsText" dxfId="4193" priority="2275" operator="containsText" text="Off Target">
      <formula>NOT(ISERROR(SEARCH("Off Target",H3)))</formula>
    </cfRule>
    <cfRule type="containsText" dxfId="4192" priority="2276" operator="containsText" text="In Danger of Falling Behind Target">
      <formula>NOT(ISERROR(SEARCH("In Danger of Falling Behind Target",H3)))</formula>
    </cfRule>
    <cfRule type="containsText" dxfId="4191" priority="2277" operator="containsText" text="Fully Achieved">
      <formula>NOT(ISERROR(SEARCH("Fully Achieved",H3)))</formula>
    </cfRule>
    <cfRule type="containsText" dxfId="4190" priority="2278" operator="containsText" text="On track to be achieved">
      <formula>NOT(ISERROR(SEARCH("On track to be achieved",H3)))</formula>
    </cfRule>
  </conditionalFormatting>
  <conditionalFormatting sqref="V104:V134 V3:V27 V48:V102">
    <cfRule type="containsText" dxfId="4189" priority="1203" operator="containsText" text="Deleted">
      <formula>NOT(ISERROR(SEARCH("Deleted",V3)))</formula>
    </cfRule>
    <cfRule type="containsText" dxfId="4188" priority="1204" operator="containsText" text="Deferred">
      <formula>NOT(ISERROR(SEARCH("Deferred",V3)))</formula>
    </cfRule>
    <cfRule type="containsText" dxfId="4187" priority="1205" operator="containsText" text="Completion date within reasonable tolerance">
      <formula>NOT(ISERROR(SEARCH("Completion date within reasonable tolerance",V3)))</formula>
    </cfRule>
    <cfRule type="containsText" dxfId="4186" priority="1206" operator="containsText" text="completed significantly after target deadline">
      <formula>NOT(ISERROR(SEARCH("completed significantly after target deadline",V3)))</formula>
    </cfRule>
    <cfRule type="containsText" dxfId="4185" priority="1207" operator="containsText" text="Off target">
      <formula>NOT(ISERROR(SEARCH("Off target",V3)))</formula>
    </cfRule>
    <cfRule type="containsText" dxfId="4184" priority="1208" operator="containsText" text="Target partially met">
      <formula>NOT(ISERROR(SEARCH("Target partially met",V3)))</formula>
    </cfRule>
    <cfRule type="containsText" dxfId="4183" priority="1209" operator="containsText" text="Numerical outturn within 10% tolerance">
      <formula>NOT(ISERROR(SEARCH("Numerical outturn within 10% tolerance",V3)))</formula>
    </cfRule>
    <cfRule type="containsText" dxfId="4182" priority="1210" operator="containsText" text="Numerical outturn within 5% Tolerance">
      <formula>NOT(ISERROR(SEARCH("Numerical outturn within 5% Tolerance",V3)))</formula>
    </cfRule>
    <cfRule type="containsText" dxfId="4181" priority="1211" operator="containsText" text="Fully Achieved">
      <formula>NOT(ISERROR(SEARCH("Fully Achieved",V3)))</formula>
    </cfRule>
    <cfRule type="containsText" dxfId="4180" priority="1212" operator="containsText" text="Update Not Provided">
      <formula>NOT(ISERROR(SEARCH("Update Not Provided",V3)))</formula>
    </cfRule>
    <cfRule type="containsText" dxfId="4179" priority="1213" operator="containsText" text="Deferred">
      <formula>NOT(ISERROR(SEARCH("Deferred",V3)))</formula>
    </cfRule>
    <cfRule type="containsText" dxfId="4178" priority="1214" operator="containsText" text="Update Not Provided">
      <formula>NOT(ISERROR(SEARCH("Update Not Provided",V3)))</formula>
    </cfRule>
    <cfRule type="containsText" dxfId="4177" priority="1215" operator="containsText" text="Not Yet Due">
      <formula>NOT(ISERROR(SEARCH("Not Yet Due",V3)))</formula>
    </cfRule>
    <cfRule type="containsText" dxfId="4176" priority="1216" operator="containsText" text="Deleted">
      <formula>NOT(ISERROR(SEARCH("Deleted",V3)))</formula>
    </cfRule>
    <cfRule type="containsText" dxfId="4175" priority="1217" operator="containsText" text="Completed Behind Schedule">
      <formula>NOT(ISERROR(SEARCH("Completed Behind Schedule",V3)))</formula>
    </cfRule>
    <cfRule type="containsText" dxfId="4174" priority="1218" operator="containsText" text="Off Target">
      <formula>NOT(ISERROR(SEARCH("Off Target",V3)))</formula>
    </cfRule>
    <cfRule type="containsText" dxfId="4173" priority="1219" operator="containsText" text="In Danger of Falling Behind Target">
      <formula>NOT(ISERROR(SEARCH("In Danger of Falling Behind Target",V3)))</formula>
    </cfRule>
    <cfRule type="containsText" dxfId="4172" priority="1220" operator="containsText" text="Fully Achieved">
      <formula>NOT(ISERROR(SEARCH("Fully Achieved",V3)))</formula>
    </cfRule>
    <cfRule type="containsText" dxfId="4171" priority="1221" operator="containsText" text="On track to be achieved">
      <formula>NOT(ISERROR(SEARCH("On track to be achieved",V3)))</formula>
    </cfRule>
  </conditionalFormatting>
  <conditionalFormatting sqref="R124 H124">
    <cfRule type="containsText" dxfId="4170" priority="400" operator="containsText" text="Deferred">
      <formula>NOT(ISERROR(SEARCH("Deferred",H124)))</formula>
    </cfRule>
    <cfRule type="containsText" dxfId="4169" priority="401" operator="containsText" text="Update Not Provided">
      <formula>NOT(ISERROR(SEARCH("Update Not Provided",H124)))</formula>
    </cfRule>
    <cfRule type="containsText" dxfId="4168" priority="402" operator="containsText" text="Not Yet Due">
      <formula>NOT(ISERROR(SEARCH("Not Yet Due",H124)))</formula>
    </cfRule>
    <cfRule type="containsText" dxfId="4167" priority="403" operator="containsText" text="Deleted">
      <formula>NOT(ISERROR(SEARCH("Deleted",H124)))</formula>
    </cfRule>
    <cfRule type="containsText" dxfId="4166" priority="404" operator="containsText" text="Completed Behind Schedule">
      <formula>NOT(ISERROR(SEARCH("Completed Behind Schedule",H124)))</formula>
    </cfRule>
    <cfRule type="containsText" dxfId="4165" priority="405" operator="containsText" text="Off Target">
      <formula>NOT(ISERROR(SEARCH("Off Target",H124)))</formula>
    </cfRule>
    <cfRule type="containsText" dxfId="4164" priority="406" operator="containsText" text="In Danger of Falling Behind Target">
      <formula>NOT(ISERROR(SEARCH("In Danger of Falling Behind Target",H124)))</formula>
    </cfRule>
    <cfRule type="containsText" dxfId="4163" priority="407" operator="containsText" text="Fully Achieved">
      <formula>NOT(ISERROR(SEARCH("Fully Achieved",H124)))</formula>
    </cfRule>
    <cfRule type="containsText" dxfId="4162" priority="408" operator="containsText" text="On track to be achieved">
      <formula>NOT(ISERROR(SEARCH("On track to be achieved",H124)))</formula>
    </cfRule>
  </conditionalFormatting>
  <conditionalFormatting sqref="H122">
    <cfRule type="containsText" dxfId="4161" priority="372" operator="containsText" text="Deferred">
      <formula>NOT(ISERROR(SEARCH("Deferred",H122)))</formula>
    </cfRule>
    <cfRule type="containsText" dxfId="4160" priority="373" operator="containsText" text="Update Not Provided">
      <formula>NOT(ISERROR(SEARCH("Update Not Provided",H122)))</formula>
    </cfRule>
    <cfRule type="containsText" dxfId="4159" priority="374" operator="containsText" text="Not Yet Due">
      <formula>NOT(ISERROR(SEARCH("Not Yet Due",H122)))</formula>
    </cfRule>
    <cfRule type="containsText" dxfId="4158" priority="375" operator="containsText" text="Deleted">
      <formula>NOT(ISERROR(SEARCH("Deleted",H122)))</formula>
    </cfRule>
    <cfRule type="containsText" dxfId="4157" priority="376" operator="containsText" text="Completed Behind Schedule">
      <formula>NOT(ISERROR(SEARCH("Completed Behind Schedule",H122)))</formula>
    </cfRule>
    <cfRule type="containsText" dxfId="4156" priority="377" operator="containsText" text="Off Target">
      <formula>NOT(ISERROR(SEARCH("Off Target",H122)))</formula>
    </cfRule>
    <cfRule type="containsText" dxfId="4155" priority="378" operator="containsText" text="In Danger of Falling Behind Target">
      <formula>NOT(ISERROR(SEARCH("In Danger of Falling Behind Target",H122)))</formula>
    </cfRule>
    <cfRule type="containsText" dxfId="4154" priority="379" operator="containsText" text="Fully Achieved">
      <formula>NOT(ISERROR(SEARCH("Fully Achieved",H122)))</formula>
    </cfRule>
    <cfRule type="containsText" dxfId="4153" priority="380" operator="containsText" text="On track to be achieved">
      <formula>NOT(ISERROR(SEARCH("On track to be achieved",H122)))</formula>
    </cfRule>
  </conditionalFormatting>
  <conditionalFormatting sqref="H121">
    <cfRule type="containsText" dxfId="4152" priority="344" operator="containsText" text="Deferred">
      <formula>NOT(ISERROR(SEARCH("Deferred",H121)))</formula>
    </cfRule>
    <cfRule type="containsText" dxfId="4151" priority="345" operator="containsText" text="Update Not Provided">
      <formula>NOT(ISERROR(SEARCH("Update Not Provided",H121)))</formula>
    </cfRule>
    <cfRule type="containsText" dxfId="4150" priority="346" operator="containsText" text="Not Yet Due">
      <formula>NOT(ISERROR(SEARCH("Not Yet Due",H121)))</formula>
    </cfRule>
    <cfRule type="containsText" dxfId="4149" priority="347" operator="containsText" text="Deleted">
      <formula>NOT(ISERROR(SEARCH("Deleted",H121)))</formula>
    </cfRule>
    <cfRule type="containsText" dxfId="4148" priority="348" operator="containsText" text="Completed Behind Schedule">
      <formula>NOT(ISERROR(SEARCH("Completed Behind Schedule",H121)))</formula>
    </cfRule>
    <cfRule type="containsText" dxfId="4147" priority="349" operator="containsText" text="Off Target">
      <formula>NOT(ISERROR(SEARCH("Off Target",H121)))</formula>
    </cfRule>
    <cfRule type="containsText" dxfId="4146" priority="350" operator="containsText" text="In Danger of Falling Behind Target">
      <formula>NOT(ISERROR(SEARCH("In Danger of Falling Behind Target",H121)))</formula>
    </cfRule>
    <cfRule type="containsText" dxfId="4145" priority="351" operator="containsText" text="Fully Achieved">
      <formula>NOT(ISERROR(SEARCH("Fully Achieved",H121)))</formula>
    </cfRule>
    <cfRule type="containsText" dxfId="4144" priority="352" operator="containsText" text="On track to be achieved">
      <formula>NOT(ISERROR(SEARCH("On track to be achieved",H121)))</formula>
    </cfRule>
  </conditionalFormatting>
  <conditionalFormatting sqref="H118">
    <cfRule type="containsText" dxfId="4143" priority="316" operator="containsText" text="Deferred">
      <formula>NOT(ISERROR(SEARCH("Deferred",H118)))</formula>
    </cfRule>
    <cfRule type="containsText" dxfId="4142" priority="317" operator="containsText" text="Update Not Provided">
      <formula>NOT(ISERROR(SEARCH("Update Not Provided",H118)))</formula>
    </cfRule>
    <cfRule type="containsText" dxfId="4141" priority="318" operator="containsText" text="Not Yet Due">
      <formula>NOT(ISERROR(SEARCH("Not Yet Due",H118)))</formula>
    </cfRule>
    <cfRule type="containsText" dxfId="4140" priority="319" operator="containsText" text="Deleted">
      <formula>NOT(ISERROR(SEARCH("Deleted",H118)))</formula>
    </cfRule>
    <cfRule type="containsText" dxfId="4139" priority="320" operator="containsText" text="Completed Behind Schedule">
      <formula>NOT(ISERROR(SEARCH("Completed Behind Schedule",H118)))</formula>
    </cfRule>
    <cfRule type="containsText" dxfId="4138" priority="321" operator="containsText" text="Off Target">
      <formula>NOT(ISERROR(SEARCH("Off Target",H118)))</formula>
    </cfRule>
    <cfRule type="containsText" dxfId="4137" priority="322" operator="containsText" text="In Danger of Falling Behind Target">
      <formula>NOT(ISERROR(SEARCH("In Danger of Falling Behind Target",H118)))</formula>
    </cfRule>
    <cfRule type="containsText" dxfId="4136" priority="323" operator="containsText" text="Fully Achieved">
      <formula>NOT(ISERROR(SEARCH("Fully Achieved",H118)))</formula>
    </cfRule>
    <cfRule type="containsText" dxfId="4135" priority="324" operator="containsText" text="On track to be achieved">
      <formula>NOT(ISERROR(SEARCH("On track to be achieved",H118)))</formula>
    </cfRule>
  </conditionalFormatting>
  <conditionalFormatting sqref="H119">
    <cfRule type="containsText" dxfId="4134" priority="288" operator="containsText" text="Deferred">
      <formula>NOT(ISERROR(SEARCH("Deferred",H119)))</formula>
    </cfRule>
    <cfRule type="containsText" dxfId="4133" priority="289" operator="containsText" text="Update Not Provided">
      <formula>NOT(ISERROR(SEARCH("Update Not Provided",H119)))</formula>
    </cfRule>
    <cfRule type="containsText" dxfId="4132" priority="290" operator="containsText" text="Not Yet Due">
      <formula>NOT(ISERROR(SEARCH("Not Yet Due",H119)))</formula>
    </cfRule>
    <cfRule type="containsText" dxfId="4131" priority="291" operator="containsText" text="Deleted">
      <formula>NOT(ISERROR(SEARCH("Deleted",H119)))</formula>
    </cfRule>
    <cfRule type="containsText" dxfId="4130" priority="292" operator="containsText" text="Completed Behind Schedule">
      <formula>NOT(ISERROR(SEARCH("Completed Behind Schedule",H119)))</formula>
    </cfRule>
    <cfRule type="containsText" dxfId="4129" priority="293" operator="containsText" text="Off Target">
      <formula>NOT(ISERROR(SEARCH("Off Target",H119)))</formula>
    </cfRule>
    <cfRule type="containsText" dxfId="4128" priority="294" operator="containsText" text="In Danger of Falling Behind Target">
      <formula>NOT(ISERROR(SEARCH("In Danger of Falling Behind Target",H119)))</formula>
    </cfRule>
    <cfRule type="containsText" dxfId="4127" priority="295" operator="containsText" text="Fully Achieved">
      <formula>NOT(ISERROR(SEARCH("Fully Achieved",H119)))</formula>
    </cfRule>
    <cfRule type="containsText" dxfId="4126" priority="296" operator="containsText" text="On track to be achieved">
      <formula>NOT(ISERROR(SEARCH("On track to be achieved",H119)))</formula>
    </cfRule>
  </conditionalFormatting>
  <conditionalFormatting sqref="R113 H113">
    <cfRule type="containsText" dxfId="4125" priority="260" operator="containsText" text="Deferred">
      <formula>NOT(ISERROR(SEARCH("Deferred",H113)))</formula>
    </cfRule>
    <cfRule type="containsText" dxfId="4124" priority="261" operator="containsText" text="Update Not Provided">
      <formula>NOT(ISERROR(SEARCH("Update Not Provided",H113)))</formula>
    </cfRule>
    <cfRule type="containsText" dxfId="4123" priority="262" operator="containsText" text="Not Yet Due">
      <formula>NOT(ISERROR(SEARCH("Not Yet Due",H113)))</formula>
    </cfRule>
    <cfRule type="containsText" dxfId="4122" priority="263" operator="containsText" text="Deleted">
      <formula>NOT(ISERROR(SEARCH("Deleted",H113)))</formula>
    </cfRule>
    <cfRule type="containsText" dxfId="4121" priority="264" operator="containsText" text="Completed Behind Schedule">
      <formula>NOT(ISERROR(SEARCH("Completed Behind Schedule",H113)))</formula>
    </cfRule>
    <cfRule type="containsText" dxfId="4120" priority="265" operator="containsText" text="Off Target">
      <formula>NOT(ISERROR(SEARCH("Off Target",H113)))</formula>
    </cfRule>
    <cfRule type="containsText" dxfId="4119" priority="266" operator="containsText" text="In Danger of Falling Behind Target">
      <formula>NOT(ISERROR(SEARCH("In Danger of Falling Behind Target",H113)))</formula>
    </cfRule>
    <cfRule type="containsText" dxfId="4118" priority="267" operator="containsText" text="Fully Achieved">
      <formula>NOT(ISERROR(SEARCH("Fully Achieved",H113)))</formula>
    </cfRule>
    <cfRule type="containsText" dxfId="4117" priority="268" operator="containsText" text="On track to be achieved">
      <formula>NOT(ISERROR(SEARCH("On track to be achieved",H113)))</formula>
    </cfRule>
  </conditionalFormatting>
  <conditionalFormatting sqref="R66 H66">
    <cfRule type="containsText" dxfId="4116" priority="232" operator="containsText" text="Deferred">
      <formula>NOT(ISERROR(SEARCH("Deferred",H66)))</formula>
    </cfRule>
    <cfRule type="containsText" dxfId="4115" priority="233" operator="containsText" text="Update Not Provided">
      <formula>NOT(ISERROR(SEARCH("Update Not Provided",H66)))</formula>
    </cfRule>
    <cfRule type="containsText" dxfId="4114" priority="234" operator="containsText" text="Not Yet Due">
      <formula>NOT(ISERROR(SEARCH("Not Yet Due",H66)))</formula>
    </cfRule>
    <cfRule type="containsText" dxfId="4113" priority="235" operator="containsText" text="Deleted">
      <formula>NOT(ISERROR(SEARCH("Deleted",H66)))</formula>
    </cfRule>
    <cfRule type="containsText" dxfId="4112" priority="236" operator="containsText" text="Completed Behind Schedule">
      <formula>NOT(ISERROR(SEARCH("Completed Behind Schedule",H66)))</formula>
    </cfRule>
    <cfRule type="containsText" dxfId="4111" priority="237" operator="containsText" text="Off Target">
      <formula>NOT(ISERROR(SEARCH("Off Target",H66)))</formula>
    </cfRule>
    <cfRule type="containsText" dxfId="4110" priority="238" operator="containsText" text="In Danger of Falling Behind Target">
      <formula>NOT(ISERROR(SEARCH("In Danger of Falling Behind Target",H66)))</formula>
    </cfRule>
    <cfRule type="containsText" dxfId="4109" priority="239" operator="containsText" text="Fully Achieved">
      <formula>NOT(ISERROR(SEARCH("Fully Achieved",H66)))</formula>
    </cfRule>
    <cfRule type="containsText" dxfId="4108" priority="240" operator="containsText" text="On track to be achieved">
      <formula>NOT(ISERROR(SEARCH("On track to be achieved",H66)))</formula>
    </cfRule>
  </conditionalFormatting>
  <conditionalFormatting sqref="H67">
    <cfRule type="containsText" dxfId="4107" priority="204" operator="containsText" text="Deferred">
      <formula>NOT(ISERROR(SEARCH("Deferred",H67)))</formula>
    </cfRule>
    <cfRule type="containsText" dxfId="4106" priority="205" operator="containsText" text="Update Not Provided">
      <formula>NOT(ISERROR(SEARCH("Update Not Provided",H67)))</formula>
    </cfRule>
    <cfRule type="containsText" dxfId="4105" priority="206" operator="containsText" text="Not Yet Due">
      <formula>NOT(ISERROR(SEARCH("Not Yet Due",H67)))</formula>
    </cfRule>
    <cfRule type="containsText" dxfId="4104" priority="207" operator="containsText" text="Deleted">
      <formula>NOT(ISERROR(SEARCH("Deleted",H67)))</formula>
    </cfRule>
    <cfRule type="containsText" dxfId="4103" priority="208" operator="containsText" text="Completed Behind Schedule">
      <formula>NOT(ISERROR(SEARCH("Completed Behind Schedule",H67)))</formula>
    </cfRule>
    <cfRule type="containsText" dxfId="4102" priority="209" operator="containsText" text="Off Target">
      <formula>NOT(ISERROR(SEARCH("Off Target",H67)))</formula>
    </cfRule>
    <cfRule type="containsText" dxfId="4101" priority="210" operator="containsText" text="In Danger of Falling Behind Target">
      <formula>NOT(ISERROR(SEARCH("In Danger of Falling Behind Target",H67)))</formula>
    </cfRule>
    <cfRule type="containsText" dxfId="4100" priority="211" operator="containsText" text="Fully Achieved">
      <formula>NOT(ISERROR(SEARCH("Fully Achieved",H67)))</formula>
    </cfRule>
    <cfRule type="containsText" dxfId="4099" priority="212" operator="containsText" text="On track to be achieved">
      <formula>NOT(ISERROR(SEARCH("On track to be achieved",H67)))</formula>
    </cfRule>
  </conditionalFormatting>
  <conditionalFormatting sqref="H68">
    <cfRule type="containsText" dxfId="4098" priority="176" operator="containsText" text="Deferred">
      <formula>NOT(ISERROR(SEARCH("Deferred",H68)))</formula>
    </cfRule>
    <cfRule type="containsText" dxfId="4097" priority="177" operator="containsText" text="Update Not Provided">
      <formula>NOT(ISERROR(SEARCH("Update Not Provided",H68)))</formula>
    </cfRule>
    <cfRule type="containsText" dxfId="4096" priority="178" operator="containsText" text="Not Yet Due">
      <formula>NOT(ISERROR(SEARCH("Not Yet Due",H68)))</formula>
    </cfRule>
    <cfRule type="containsText" dxfId="4095" priority="179" operator="containsText" text="Deleted">
      <formula>NOT(ISERROR(SEARCH("Deleted",H68)))</formula>
    </cfRule>
    <cfRule type="containsText" dxfId="4094" priority="180" operator="containsText" text="Completed Behind Schedule">
      <formula>NOT(ISERROR(SEARCH("Completed Behind Schedule",H68)))</formula>
    </cfRule>
    <cfRule type="containsText" dxfId="4093" priority="181" operator="containsText" text="Off Target">
      <formula>NOT(ISERROR(SEARCH("Off Target",H68)))</formula>
    </cfRule>
    <cfRule type="containsText" dxfId="4092" priority="182" operator="containsText" text="In Danger of Falling Behind Target">
      <formula>NOT(ISERROR(SEARCH("In Danger of Falling Behind Target",H68)))</formula>
    </cfRule>
    <cfRule type="containsText" dxfId="4091" priority="183" operator="containsText" text="Fully Achieved">
      <formula>NOT(ISERROR(SEARCH("Fully Achieved",H68)))</formula>
    </cfRule>
    <cfRule type="containsText" dxfId="4090" priority="184" operator="containsText" text="On track to be achieved">
      <formula>NOT(ISERROR(SEARCH("On track to be achieved",H68)))</formula>
    </cfRule>
  </conditionalFormatting>
  <conditionalFormatting sqref="H14">
    <cfRule type="containsText" dxfId="4089" priority="148" operator="containsText" text="Deferred">
      <formula>NOT(ISERROR(SEARCH("Deferred",H14)))</formula>
    </cfRule>
    <cfRule type="containsText" dxfId="4088" priority="149" operator="containsText" text="Update Not Provided">
      <formula>NOT(ISERROR(SEARCH("Update Not Provided",H14)))</formula>
    </cfRule>
    <cfRule type="containsText" dxfId="4087" priority="150" operator="containsText" text="Not Yet Due">
      <formula>NOT(ISERROR(SEARCH("Not Yet Due",H14)))</formula>
    </cfRule>
    <cfRule type="containsText" dxfId="4086" priority="151" operator="containsText" text="Deleted">
      <formula>NOT(ISERROR(SEARCH("Deleted",H14)))</formula>
    </cfRule>
    <cfRule type="containsText" dxfId="4085" priority="152" operator="containsText" text="Completed Behind Schedule">
      <formula>NOT(ISERROR(SEARCH("Completed Behind Schedule",H14)))</formula>
    </cfRule>
    <cfRule type="containsText" dxfId="4084" priority="153" operator="containsText" text="Off Target">
      <formula>NOT(ISERROR(SEARCH("Off Target",H14)))</formula>
    </cfRule>
    <cfRule type="containsText" dxfId="4083" priority="154" operator="containsText" text="In Danger of Falling Behind Target">
      <formula>NOT(ISERROR(SEARCH("In Danger of Falling Behind Target",H14)))</formula>
    </cfRule>
    <cfRule type="containsText" dxfId="4082" priority="155" operator="containsText" text="Fully Achieved">
      <formula>NOT(ISERROR(SEARCH("Fully Achieved",H14)))</formula>
    </cfRule>
    <cfRule type="containsText" dxfId="4081" priority="156" operator="containsText" text="On track to be achieved">
      <formula>NOT(ISERROR(SEARCH("On track to be achieved",H14)))</formula>
    </cfRule>
  </conditionalFormatting>
  <conditionalFormatting sqref="H88 R88">
    <cfRule type="containsText" dxfId="4080" priority="120" operator="containsText" text="Deferred">
      <formula>NOT(ISERROR(SEARCH("Deferred",H88)))</formula>
    </cfRule>
    <cfRule type="containsText" dxfId="4079" priority="121" operator="containsText" text="Update Not Provided">
      <formula>NOT(ISERROR(SEARCH("Update Not Provided",H88)))</formula>
    </cfRule>
    <cfRule type="containsText" dxfId="4078" priority="122" operator="containsText" text="Not Yet Due">
      <formula>NOT(ISERROR(SEARCH("Not Yet Due",H88)))</formula>
    </cfRule>
    <cfRule type="containsText" dxfId="4077" priority="123" operator="containsText" text="Deleted">
      <formula>NOT(ISERROR(SEARCH("Deleted",H88)))</formula>
    </cfRule>
    <cfRule type="containsText" dxfId="4076" priority="124" operator="containsText" text="Completed Behind Schedule">
      <formula>NOT(ISERROR(SEARCH("Completed Behind Schedule",H88)))</formula>
    </cfRule>
    <cfRule type="containsText" dxfId="4075" priority="125" operator="containsText" text="Off Target">
      <formula>NOT(ISERROR(SEARCH("Off Target",H88)))</formula>
    </cfRule>
    <cfRule type="containsText" dxfId="4074" priority="126" operator="containsText" text="In Danger of Falling Behind Target">
      <formula>NOT(ISERROR(SEARCH("In Danger of Falling Behind Target",H88)))</formula>
    </cfRule>
    <cfRule type="containsText" dxfId="4073" priority="127" operator="containsText" text="Fully Achieved">
      <formula>NOT(ISERROR(SEARCH("Fully Achieved",H88)))</formula>
    </cfRule>
    <cfRule type="containsText" dxfId="4072" priority="128" operator="containsText" text="On track to be achieved">
      <formula>NOT(ISERROR(SEARCH("On track to be achieved",H88)))</formula>
    </cfRule>
  </conditionalFormatting>
  <conditionalFormatting sqref="M129:M132">
    <cfRule type="containsText" dxfId="4071" priority="92" operator="containsText" text="Deferred">
      <formula>NOT(ISERROR(SEARCH("Deferred",M129)))</formula>
    </cfRule>
    <cfRule type="containsText" dxfId="4070" priority="93" operator="containsText" text="Update Not Provided">
      <formula>NOT(ISERROR(SEARCH("Update Not Provided",M129)))</formula>
    </cfRule>
    <cfRule type="containsText" dxfId="4069" priority="94" operator="containsText" text="Not Yet Due">
      <formula>NOT(ISERROR(SEARCH("Not Yet Due",M129)))</formula>
    </cfRule>
    <cfRule type="containsText" dxfId="4068" priority="95" operator="containsText" text="Deleted">
      <formula>NOT(ISERROR(SEARCH("Deleted",M129)))</formula>
    </cfRule>
    <cfRule type="containsText" dxfId="4067" priority="96" operator="containsText" text="Completed Behind Schedule">
      <formula>NOT(ISERROR(SEARCH("Completed Behind Schedule",M129)))</formula>
    </cfRule>
    <cfRule type="containsText" dxfId="4066" priority="97" operator="containsText" text="Off Target">
      <formula>NOT(ISERROR(SEARCH("Off Target",M129)))</formula>
    </cfRule>
    <cfRule type="containsText" dxfId="4065" priority="98" operator="containsText" text="In Danger of Falling Behind Target">
      <formula>NOT(ISERROR(SEARCH("In Danger of Falling Behind Target",M129)))</formula>
    </cfRule>
    <cfRule type="containsText" dxfId="4064" priority="99" operator="containsText" text="Fully Achieved">
      <formula>NOT(ISERROR(SEARCH("Fully Achieved",M129)))</formula>
    </cfRule>
    <cfRule type="containsText" dxfId="4063" priority="100" operator="containsText" text="On track to be achieved">
      <formula>NOT(ISERROR(SEARCH("On track to be achieved",M129)))</formula>
    </cfRule>
  </conditionalFormatting>
  <conditionalFormatting sqref="R14">
    <cfRule type="containsText" dxfId="4062" priority="83" operator="containsText" text="Deferred">
      <formula>NOT(ISERROR(SEARCH("Deferred",R14)))</formula>
    </cfRule>
    <cfRule type="containsText" dxfId="4061" priority="84" operator="containsText" text="Update Not Provided">
      <formula>NOT(ISERROR(SEARCH("Update Not Provided",R14)))</formula>
    </cfRule>
    <cfRule type="containsText" dxfId="4060" priority="85" operator="containsText" text="Not Yet Due">
      <formula>NOT(ISERROR(SEARCH("Not Yet Due",R14)))</formula>
    </cfRule>
    <cfRule type="containsText" dxfId="4059" priority="86" operator="containsText" text="Deleted">
      <formula>NOT(ISERROR(SEARCH("Deleted",R14)))</formula>
    </cfRule>
    <cfRule type="containsText" dxfId="4058" priority="87" operator="containsText" text="Completed Behind Schedule">
      <formula>NOT(ISERROR(SEARCH("Completed Behind Schedule",R14)))</formula>
    </cfRule>
    <cfRule type="containsText" dxfId="4057" priority="88" operator="containsText" text="Off Target">
      <formula>NOT(ISERROR(SEARCH("Off Target",R14)))</formula>
    </cfRule>
    <cfRule type="containsText" dxfId="4056" priority="89" operator="containsText" text="In Danger of Falling Behind Target">
      <formula>NOT(ISERROR(SEARCH("In Danger of Falling Behind Target",R14)))</formula>
    </cfRule>
    <cfRule type="containsText" dxfId="4055" priority="90" operator="containsText" text="Fully Achieved">
      <formula>NOT(ISERROR(SEARCH("Fully Achieved",R14)))</formula>
    </cfRule>
    <cfRule type="containsText" dxfId="4054" priority="91" operator="containsText" text="On track to be achieved">
      <formula>NOT(ISERROR(SEARCH("On track to be achieved",R14)))</formula>
    </cfRule>
  </conditionalFormatting>
  <conditionalFormatting sqref="R67">
    <cfRule type="containsText" dxfId="4053" priority="74" operator="containsText" text="Deferred">
      <formula>NOT(ISERROR(SEARCH("Deferred",R67)))</formula>
    </cfRule>
    <cfRule type="containsText" dxfId="4052" priority="75" operator="containsText" text="Update Not Provided">
      <formula>NOT(ISERROR(SEARCH("Update Not Provided",R67)))</formula>
    </cfRule>
    <cfRule type="containsText" dxfId="4051" priority="76" operator="containsText" text="Not Yet Due">
      <formula>NOT(ISERROR(SEARCH("Not Yet Due",R67)))</formula>
    </cfRule>
    <cfRule type="containsText" dxfId="4050" priority="77" operator="containsText" text="Deleted">
      <formula>NOT(ISERROR(SEARCH("Deleted",R67)))</formula>
    </cfRule>
    <cfRule type="containsText" dxfId="4049" priority="78" operator="containsText" text="Completed Behind Schedule">
      <formula>NOT(ISERROR(SEARCH("Completed Behind Schedule",R67)))</formula>
    </cfRule>
    <cfRule type="containsText" dxfId="4048" priority="79" operator="containsText" text="Off Target">
      <formula>NOT(ISERROR(SEARCH("Off Target",R67)))</formula>
    </cfRule>
    <cfRule type="containsText" dxfId="4047" priority="80" operator="containsText" text="In Danger of Falling Behind Target">
      <formula>NOT(ISERROR(SEARCH("In Danger of Falling Behind Target",R67)))</formula>
    </cfRule>
    <cfRule type="containsText" dxfId="4046" priority="81" operator="containsText" text="Fully Achieved">
      <formula>NOT(ISERROR(SEARCH("Fully Achieved",R67)))</formula>
    </cfRule>
    <cfRule type="containsText" dxfId="4045" priority="82" operator="containsText" text="On track to be achieved">
      <formula>NOT(ISERROR(SEARCH("On track to be achieved",R67)))</formula>
    </cfRule>
  </conditionalFormatting>
  <conditionalFormatting sqref="R68">
    <cfRule type="containsText" dxfId="4044" priority="65" operator="containsText" text="Deferred">
      <formula>NOT(ISERROR(SEARCH("Deferred",R68)))</formula>
    </cfRule>
    <cfRule type="containsText" dxfId="4043" priority="66" operator="containsText" text="Update Not Provided">
      <formula>NOT(ISERROR(SEARCH("Update Not Provided",R68)))</formula>
    </cfRule>
    <cfRule type="containsText" dxfId="4042" priority="67" operator="containsText" text="Not Yet Due">
      <formula>NOT(ISERROR(SEARCH("Not Yet Due",R68)))</formula>
    </cfRule>
    <cfRule type="containsText" dxfId="4041" priority="68" operator="containsText" text="Deleted">
      <formula>NOT(ISERROR(SEARCH("Deleted",R68)))</formula>
    </cfRule>
    <cfRule type="containsText" dxfId="4040" priority="69" operator="containsText" text="Completed Behind Schedule">
      <formula>NOT(ISERROR(SEARCH("Completed Behind Schedule",R68)))</formula>
    </cfRule>
    <cfRule type="containsText" dxfId="4039" priority="70" operator="containsText" text="Off Target">
      <formula>NOT(ISERROR(SEARCH("Off Target",R68)))</formula>
    </cfRule>
    <cfRule type="containsText" dxfId="4038" priority="71" operator="containsText" text="In Danger of Falling Behind Target">
      <formula>NOT(ISERROR(SEARCH("In Danger of Falling Behind Target",R68)))</formula>
    </cfRule>
    <cfRule type="containsText" dxfId="4037" priority="72" operator="containsText" text="Fully Achieved">
      <formula>NOT(ISERROR(SEARCH("Fully Achieved",R68)))</formula>
    </cfRule>
    <cfRule type="containsText" dxfId="4036" priority="73" operator="containsText" text="On track to be achieved">
      <formula>NOT(ISERROR(SEARCH("On track to be achieved",R68)))</formula>
    </cfRule>
  </conditionalFormatting>
  <conditionalFormatting sqref="R118">
    <cfRule type="containsText" dxfId="4035" priority="56" operator="containsText" text="Deferred">
      <formula>NOT(ISERROR(SEARCH("Deferred",R118)))</formula>
    </cfRule>
    <cfRule type="containsText" dxfId="4034" priority="57" operator="containsText" text="Update Not Provided">
      <formula>NOT(ISERROR(SEARCH("Update Not Provided",R118)))</formula>
    </cfRule>
    <cfRule type="containsText" dxfId="4033" priority="58" operator="containsText" text="Not Yet Due">
      <formula>NOT(ISERROR(SEARCH("Not Yet Due",R118)))</formula>
    </cfRule>
    <cfRule type="containsText" dxfId="4032" priority="59" operator="containsText" text="Deleted">
      <formula>NOT(ISERROR(SEARCH("Deleted",R118)))</formula>
    </cfRule>
    <cfRule type="containsText" dxfId="4031" priority="60" operator="containsText" text="Completed Behind Schedule">
      <formula>NOT(ISERROR(SEARCH("Completed Behind Schedule",R118)))</formula>
    </cfRule>
    <cfRule type="containsText" dxfId="4030" priority="61" operator="containsText" text="Off Target">
      <formula>NOT(ISERROR(SEARCH("Off Target",R118)))</formula>
    </cfRule>
    <cfRule type="containsText" dxfId="4029" priority="62" operator="containsText" text="In Danger of Falling Behind Target">
      <formula>NOT(ISERROR(SEARCH("In Danger of Falling Behind Target",R118)))</formula>
    </cfRule>
    <cfRule type="containsText" dxfId="4028" priority="63" operator="containsText" text="Fully Achieved">
      <formula>NOT(ISERROR(SEARCH("Fully Achieved",R118)))</formula>
    </cfRule>
    <cfRule type="containsText" dxfId="4027" priority="64" operator="containsText" text="On track to be achieved">
      <formula>NOT(ISERROR(SEARCH("On track to be achieved",R118)))</formula>
    </cfRule>
  </conditionalFormatting>
  <conditionalFormatting sqref="R119">
    <cfRule type="containsText" dxfId="4026" priority="47" operator="containsText" text="Deferred">
      <formula>NOT(ISERROR(SEARCH("Deferred",R119)))</formula>
    </cfRule>
    <cfRule type="containsText" dxfId="4025" priority="48" operator="containsText" text="Update Not Provided">
      <formula>NOT(ISERROR(SEARCH("Update Not Provided",R119)))</formula>
    </cfRule>
    <cfRule type="containsText" dxfId="4024" priority="49" operator="containsText" text="Not Yet Due">
      <formula>NOT(ISERROR(SEARCH("Not Yet Due",R119)))</formula>
    </cfRule>
    <cfRule type="containsText" dxfId="4023" priority="50" operator="containsText" text="Deleted">
      <formula>NOT(ISERROR(SEARCH("Deleted",R119)))</formula>
    </cfRule>
    <cfRule type="containsText" dxfId="4022" priority="51" operator="containsText" text="Completed Behind Schedule">
      <formula>NOT(ISERROR(SEARCH("Completed Behind Schedule",R119)))</formula>
    </cfRule>
    <cfRule type="containsText" dxfId="4021" priority="52" operator="containsText" text="Off Target">
      <formula>NOT(ISERROR(SEARCH("Off Target",R119)))</formula>
    </cfRule>
    <cfRule type="containsText" dxfId="4020" priority="53" operator="containsText" text="In Danger of Falling Behind Target">
      <formula>NOT(ISERROR(SEARCH("In Danger of Falling Behind Target",R119)))</formula>
    </cfRule>
    <cfRule type="containsText" dxfId="4019" priority="54" operator="containsText" text="Fully Achieved">
      <formula>NOT(ISERROR(SEARCH("Fully Achieved",R119)))</formula>
    </cfRule>
    <cfRule type="containsText" dxfId="4018" priority="55" operator="containsText" text="On track to be achieved">
      <formula>NOT(ISERROR(SEARCH("On track to be achieved",R119)))</formula>
    </cfRule>
  </conditionalFormatting>
  <conditionalFormatting sqref="R121">
    <cfRule type="containsText" dxfId="4017" priority="38" operator="containsText" text="Deferred">
      <formula>NOT(ISERROR(SEARCH("Deferred",R121)))</formula>
    </cfRule>
    <cfRule type="containsText" dxfId="4016" priority="39" operator="containsText" text="Update Not Provided">
      <formula>NOT(ISERROR(SEARCH("Update Not Provided",R121)))</formula>
    </cfRule>
    <cfRule type="containsText" dxfId="4015" priority="40" operator="containsText" text="Not Yet Due">
      <formula>NOT(ISERROR(SEARCH("Not Yet Due",R121)))</formula>
    </cfRule>
    <cfRule type="containsText" dxfId="4014" priority="41" operator="containsText" text="Deleted">
      <formula>NOT(ISERROR(SEARCH("Deleted",R121)))</formula>
    </cfRule>
    <cfRule type="containsText" dxfId="4013" priority="42" operator="containsText" text="Completed Behind Schedule">
      <formula>NOT(ISERROR(SEARCH("Completed Behind Schedule",R121)))</formula>
    </cfRule>
    <cfRule type="containsText" dxfId="4012" priority="43" operator="containsText" text="Off Target">
      <formula>NOT(ISERROR(SEARCH("Off Target",R121)))</formula>
    </cfRule>
    <cfRule type="containsText" dxfId="4011" priority="44" operator="containsText" text="In Danger of Falling Behind Target">
      <formula>NOT(ISERROR(SEARCH("In Danger of Falling Behind Target",R121)))</formula>
    </cfRule>
    <cfRule type="containsText" dxfId="4010" priority="45" operator="containsText" text="Fully Achieved">
      <formula>NOT(ISERROR(SEARCH("Fully Achieved",R121)))</formula>
    </cfRule>
    <cfRule type="containsText" dxfId="4009" priority="46" operator="containsText" text="On track to be achieved">
      <formula>NOT(ISERROR(SEARCH("On track to be achieved",R121)))</formula>
    </cfRule>
  </conditionalFormatting>
  <conditionalFormatting sqref="R122">
    <cfRule type="containsText" dxfId="4008" priority="29" operator="containsText" text="Deferred">
      <formula>NOT(ISERROR(SEARCH("Deferred",R122)))</formula>
    </cfRule>
    <cfRule type="containsText" dxfId="4007" priority="30" operator="containsText" text="Update Not Provided">
      <formula>NOT(ISERROR(SEARCH("Update Not Provided",R122)))</formula>
    </cfRule>
    <cfRule type="containsText" dxfId="4006" priority="31" operator="containsText" text="Not Yet Due">
      <formula>NOT(ISERROR(SEARCH("Not Yet Due",R122)))</formula>
    </cfRule>
    <cfRule type="containsText" dxfId="4005" priority="32" operator="containsText" text="Deleted">
      <formula>NOT(ISERROR(SEARCH("Deleted",R122)))</formula>
    </cfRule>
    <cfRule type="containsText" dxfId="4004" priority="33" operator="containsText" text="Completed Behind Schedule">
      <formula>NOT(ISERROR(SEARCH("Completed Behind Schedule",R122)))</formula>
    </cfRule>
    <cfRule type="containsText" dxfId="4003" priority="34" operator="containsText" text="Off Target">
      <formula>NOT(ISERROR(SEARCH("Off Target",R122)))</formula>
    </cfRule>
    <cfRule type="containsText" dxfId="4002" priority="35" operator="containsText" text="In Danger of Falling Behind Target">
      <formula>NOT(ISERROR(SEARCH("In Danger of Falling Behind Target",R122)))</formula>
    </cfRule>
    <cfRule type="containsText" dxfId="4001" priority="36" operator="containsText" text="Fully Achieved">
      <formula>NOT(ISERROR(SEARCH("Fully Achieved",R122)))</formula>
    </cfRule>
    <cfRule type="containsText" dxfId="4000" priority="37" operator="containsText" text="On track to be achieved">
      <formula>NOT(ISERROR(SEARCH("On track to be achieved",R122)))</formula>
    </cfRule>
  </conditionalFormatting>
  <conditionalFormatting sqref="V103">
    <cfRule type="containsText" dxfId="3999" priority="20" operator="containsText" text="Deferred">
      <formula>NOT(ISERROR(SEARCH("Deferred",V103)))</formula>
    </cfRule>
    <cfRule type="containsText" dxfId="3998" priority="21" operator="containsText" text="Update Not Provided">
      <formula>NOT(ISERROR(SEARCH("Update Not Provided",V103)))</formula>
    </cfRule>
    <cfRule type="containsText" dxfId="3997" priority="22" operator="containsText" text="Not Yet Due">
      <formula>NOT(ISERROR(SEARCH("Not Yet Due",V103)))</formula>
    </cfRule>
    <cfRule type="containsText" dxfId="3996" priority="23" operator="containsText" text="Deleted">
      <formula>NOT(ISERROR(SEARCH("Deleted",V103)))</formula>
    </cfRule>
    <cfRule type="containsText" dxfId="3995" priority="24" operator="containsText" text="Completed Behind Schedule">
      <formula>NOT(ISERROR(SEARCH("Completed Behind Schedule",V103)))</formula>
    </cfRule>
    <cfRule type="containsText" dxfId="3994" priority="25" operator="containsText" text="Off Target">
      <formula>NOT(ISERROR(SEARCH("Off Target",V103)))</formula>
    </cfRule>
    <cfRule type="containsText" dxfId="3993" priority="26" operator="containsText" text="In Danger of Falling Behind Target">
      <formula>NOT(ISERROR(SEARCH("In Danger of Falling Behind Target",V103)))</formula>
    </cfRule>
    <cfRule type="containsText" dxfId="3992" priority="27" operator="containsText" text="Fully Achieved">
      <formula>NOT(ISERROR(SEARCH("Fully Achieved",V103)))</formula>
    </cfRule>
    <cfRule type="containsText" dxfId="3991" priority="28" operator="containsText" text="On track to be achieved">
      <formula>NOT(ISERROR(SEARCH("On track to be achieved",V103)))</formula>
    </cfRule>
  </conditionalFormatting>
  <conditionalFormatting sqref="V28:V47">
    <cfRule type="containsText" dxfId="3990" priority="1" operator="containsText" text="Deleted">
      <formula>NOT(ISERROR(SEARCH("Deleted",V28)))</formula>
    </cfRule>
    <cfRule type="containsText" dxfId="3989" priority="2" operator="containsText" text="Deferred">
      <formula>NOT(ISERROR(SEARCH("Deferred",V28)))</formula>
    </cfRule>
    <cfRule type="containsText" dxfId="3988" priority="3" operator="containsText" text="Completion date within reasonable tolerance">
      <formula>NOT(ISERROR(SEARCH("Completion date within reasonable tolerance",V28)))</formula>
    </cfRule>
    <cfRule type="containsText" dxfId="3987" priority="4" operator="containsText" text="completed significantly after target deadline">
      <formula>NOT(ISERROR(SEARCH("completed significantly after target deadline",V28)))</formula>
    </cfRule>
    <cfRule type="containsText" dxfId="3986" priority="5" operator="containsText" text="Off target">
      <formula>NOT(ISERROR(SEARCH("Off target",V28)))</formula>
    </cfRule>
    <cfRule type="containsText" dxfId="3985" priority="6" operator="containsText" text="Target partially met">
      <formula>NOT(ISERROR(SEARCH("Target partially met",V28)))</formula>
    </cfRule>
    <cfRule type="containsText" dxfId="3984" priority="7" operator="containsText" text="Numerical outturn within 10% tolerance">
      <formula>NOT(ISERROR(SEARCH("Numerical outturn within 10% tolerance",V28)))</formula>
    </cfRule>
    <cfRule type="containsText" dxfId="3983" priority="8" operator="containsText" text="Numerical outturn within 5% Tolerance">
      <formula>NOT(ISERROR(SEARCH("Numerical outturn within 5% Tolerance",V28)))</formula>
    </cfRule>
    <cfRule type="containsText" dxfId="3982" priority="9" operator="containsText" text="Fully Achieved">
      <formula>NOT(ISERROR(SEARCH("Fully Achieved",V28)))</formula>
    </cfRule>
    <cfRule type="containsText" dxfId="3981" priority="10" operator="containsText" text="Update Not Provided">
      <formula>NOT(ISERROR(SEARCH("Update Not Provided",V28)))</formula>
    </cfRule>
    <cfRule type="containsText" dxfId="3980" priority="11" operator="containsText" text="Deferred">
      <formula>NOT(ISERROR(SEARCH("Deferred",V28)))</formula>
    </cfRule>
    <cfRule type="containsText" dxfId="3979" priority="12" operator="containsText" text="Update Not Provided">
      <formula>NOT(ISERROR(SEARCH("Update Not Provided",V28)))</formula>
    </cfRule>
    <cfRule type="containsText" dxfId="3978" priority="13" operator="containsText" text="Not Yet Due">
      <formula>NOT(ISERROR(SEARCH("Not Yet Due",V28)))</formula>
    </cfRule>
    <cfRule type="containsText" dxfId="3977" priority="14" operator="containsText" text="Deleted">
      <formula>NOT(ISERROR(SEARCH("Deleted",V28)))</formula>
    </cfRule>
    <cfRule type="containsText" dxfId="3976" priority="15" operator="containsText" text="Completed Behind Schedule">
      <formula>NOT(ISERROR(SEARCH("Completed Behind Schedule",V28)))</formula>
    </cfRule>
    <cfRule type="containsText" dxfId="3975" priority="16" operator="containsText" text="Off Target">
      <formula>NOT(ISERROR(SEARCH("Off Target",V28)))</formula>
    </cfRule>
    <cfRule type="containsText" dxfId="3974" priority="17" operator="containsText" text="In Danger of Falling Behind Target">
      <formula>NOT(ISERROR(SEARCH("In Danger of Falling Behind Target",V28)))</formula>
    </cfRule>
    <cfRule type="containsText" dxfId="3973" priority="18" operator="containsText" text="Fully Achieved">
      <formula>NOT(ISERROR(SEARCH("Fully Achieved",V28)))</formula>
    </cfRule>
    <cfRule type="containsText" dxfId="3972" priority="19" operator="containsText" text="On track to be achieved">
      <formula>NOT(ISERROR(SEARCH("On track to be achieved",V28)))</formula>
    </cfRule>
  </conditionalFormatting>
  <dataValidations xWindow="1461" yWindow="799" count="2">
    <dataValidation type="list" allowBlank="1" showInputMessage="1" showErrorMessage="1" promptTitle="Is target on track?" prompt="Please choose an option from the drop down list that best describes the current situation for this target." sqref="V3:V134">
      <formula1>$A$153:$A$162</formula1>
    </dataValidation>
    <dataValidation type="list" allowBlank="1" showInputMessage="1" showErrorMessage="1" promptTitle="Is target on track?" prompt="Please choose an option from the drop down list that best describes the current situation for this target." sqref="M3:M134 H3:H134 R3:R134">
      <formula1>$A$171:$A$179</formula1>
    </dataValidation>
  </dataValidations>
  <hyperlinks>
    <hyperlink ref="I96" r:id="rId1"/>
    <hyperlink ref="S100" r:id="rId2"/>
  </hyperlinks>
  <pageMargins left="0.25" right="0.25" top="0.75" bottom="0.75" header="0.3" footer="0.3"/>
  <pageSetup paperSize="8" scale="54" fitToHeight="0" orientation="landscape"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zoomScale="50" zoomScaleNormal="50" workbookViewId="0"/>
  </sheetViews>
  <sheetFormatPr defaultColWidth="9.28515625" defaultRowHeight="15"/>
  <cols>
    <col min="1" max="1" width="12.7109375" style="100" customWidth="1"/>
    <col min="2" max="2" width="55.42578125" style="100" customWidth="1"/>
    <col min="3" max="3" width="46.5703125" style="123" customWidth="1"/>
    <col min="4" max="10" width="26.28515625" style="100" customWidth="1"/>
    <col min="11" max="14" width="9.28515625" style="98" customWidth="1"/>
    <col min="15" max="15" width="16.5703125" style="98" hidden="1" customWidth="1"/>
    <col min="16" max="19" width="9.28515625" style="98" hidden="1" customWidth="1"/>
    <col min="20" max="20" width="24.7109375" style="98" hidden="1" customWidth="1"/>
    <col min="21" max="25" width="9.28515625" style="98" hidden="1" customWidth="1"/>
    <col min="26" max="26" width="0" style="98" hidden="1" customWidth="1"/>
    <col min="27" max="46" width="9.28515625" style="98"/>
    <col min="47" max="16384" width="9.28515625" style="100"/>
  </cols>
  <sheetData>
    <row r="1" spans="1:46" s="90" customFormat="1" ht="24" customHeight="1">
      <c r="A1" s="89" t="s">
        <v>50</v>
      </c>
      <c r="C1" s="91"/>
    </row>
    <row r="2" spans="1:46" s="93" customFormat="1" ht="60.75">
      <c r="A2" s="132" t="s">
        <v>64</v>
      </c>
      <c r="B2" s="132" t="s">
        <v>0</v>
      </c>
      <c r="C2" s="132" t="s">
        <v>1</v>
      </c>
      <c r="D2" s="133" t="s">
        <v>65</v>
      </c>
      <c r="E2" s="133" t="s">
        <v>66</v>
      </c>
      <c r="F2" s="133" t="s">
        <v>67</v>
      </c>
      <c r="G2" s="133" t="s">
        <v>68</v>
      </c>
      <c r="H2" s="133" t="s">
        <v>69</v>
      </c>
      <c r="I2" s="133" t="s">
        <v>70</v>
      </c>
      <c r="J2" s="133" t="s">
        <v>71</v>
      </c>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46" ht="99.75" customHeight="1" thickBot="1">
      <c r="A3" s="113" t="e">
        <f>'1. All Data'!#REF!</f>
        <v>#REF!</v>
      </c>
      <c r="B3" s="127" t="e">
        <f>'1. All Data'!#REF!</f>
        <v>#REF!</v>
      </c>
      <c r="C3" s="129" t="e">
        <f>'1. All Data'!#REF!</f>
        <v>#REF!</v>
      </c>
      <c r="D3" s="124" t="e">
        <f>'1. All Data'!#REF!</f>
        <v>#REF!</v>
      </c>
      <c r="E3" s="130"/>
      <c r="F3" s="125" t="e">
        <f>'1. All Data'!#REF!</f>
        <v>#REF!</v>
      </c>
      <c r="G3" s="131"/>
      <c r="H3" s="124" t="e">
        <f>'1. All Data'!#REF!</f>
        <v>#REF!</v>
      </c>
      <c r="I3" s="131"/>
      <c r="J3" s="124" t="e">
        <f>'1. All Data'!#REF!</f>
        <v>#REF!</v>
      </c>
      <c r="O3" s="99" t="s">
        <v>73</v>
      </c>
    </row>
    <row r="4" spans="1:46" ht="99.75" customHeight="1" thickTop="1" thickBot="1">
      <c r="A4" s="95" t="str">
        <f>'1. All Data'!B3</f>
        <v>PB01</v>
      </c>
      <c r="B4" s="127" t="str">
        <f>'1. All Data'!C3</f>
        <v>Tackling the cost of living crisis</v>
      </c>
      <c r="C4" s="128" t="str">
        <f>'1. All Data'!D3</f>
        <v>With partners, support and advise local residents by commissioning a new local debt advice service</v>
      </c>
      <c r="D4" s="124" t="str">
        <f>'1. All Data'!H3</f>
        <v>On Track to be Achieved</v>
      </c>
      <c r="E4" s="97"/>
      <c r="F4" s="125" t="str">
        <f>'1. All Data'!M3</f>
        <v>Fully Achieved</v>
      </c>
      <c r="G4" s="97"/>
      <c r="H4" s="126" t="str">
        <f>'1. All Data'!R3</f>
        <v>Fully Achieved</v>
      </c>
      <c r="I4" s="97"/>
      <c r="J4" s="126" t="str">
        <f>'1. All Data'!V3</f>
        <v>Fully Achieved</v>
      </c>
      <c r="O4" s="99" t="s">
        <v>75</v>
      </c>
      <c r="Y4" s="97" t="s">
        <v>74</v>
      </c>
    </row>
    <row r="5" spans="1:46" ht="99.75" customHeight="1" thickTop="1" thickBot="1">
      <c r="A5" s="95" t="str">
        <f>'1. All Data'!B4</f>
        <v>PB02</v>
      </c>
      <c r="B5" s="127" t="str">
        <f>'1. All Data'!C4</f>
        <v>Tackling the cost of living crisis</v>
      </c>
      <c r="C5" s="128" t="str">
        <f>'1. All Data'!D4</f>
        <v>Retain and enhance warm spaces and warm banks to provide continued support for residents who need help with energy bills</v>
      </c>
      <c r="D5" s="124" t="str">
        <f>'1. All Data'!H4</f>
        <v>On Track to be Achieved</v>
      </c>
      <c r="E5" s="97"/>
      <c r="F5" s="125" t="str">
        <f>'1. All Data'!M4</f>
        <v>On Track to be Achieved</v>
      </c>
      <c r="G5" s="97"/>
      <c r="H5" s="126" t="str">
        <f>'1. All Data'!R4</f>
        <v>Fully Achieved</v>
      </c>
      <c r="I5" s="97"/>
      <c r="J5" s="126" t="str">
        <f>'1. All Data'!V4</f>
        <v>Fully Achieved</v>
      </c>
      <c r="O5" s="99" t="s">
        <v>76</v>
      </c>
      <c r="T5" s="101"/>
      <c r="Y5" s="102" t="s">
        <v>77</v>
      </c>
    </row>
    <row r="6" spans="1:46" ht="102.75" thickTop="1" thickBot="1">
      <c r="A6" s="95" t="str">
        <f>'1. All Data'!B5</f>
        <v>PB03</v>
      </c>
      <c r="B6" s="127" t="str">
        <f>'1. All Data'!C5</f>
        <v>Tackling the cost of living crisis</v>
      </c>
      <c r="C6" s="128" t="str">
        <f>'1. All Data'!D5</f>
        <v>Support the work of local groups around the borough by supplying relevant supplies to food banks when stock runs low</v>
      </c>
      <c r="D6" s="124" t="str">
        <f>'1. All Data'!H5</f>
        <v>On Track to be Achieved</v>
      </c>
      <c r="E6" s="97"/>
      <c r="F6" s="125" t="str">
        <f>'1. All Data'!M5</f>
        <v>On Track to be Achieved</v>
      </c>
      <c r="G6" s="97"/>
      <c r="H6" s="126" t="str">
        <f>'1. All Data'!R5</f>
        <v>Fully Achieved</v>
      </c>
      <c r="I6" s="97"/>
      <c r="J6" s="126" t="str">
        <f>'1. All Data'!V5</f>
        <v>Fully Achieved</v>
      </c>
      <c r="O6" s="103" t="s">
        <v>72</v>
      </c>
      <c r="T6" s="104" t="s">
        <v>77</v>
      </c>
    </row>
    <row r="7" spans="1:46" ht="99.75" customHeight="1" thickTop="1">
      <c r="A7" s="95" t="str">
        <f>'1. All Data'!B6</f>
        <v>PB04</v>
      </c>
      <c r="B7" s="127" t="str">
        <f>'1. All Data'!C6</f>
        <v>Housing and Planning – improve homelessness prevention</v>
      </c>
      <c r="C7" s="128" t="str">
        <f>'1. All Data'!D6</f>
        <v>Review and consider improvements for night shelter facilities</v>
      </c>
      <c r="D7" s="124" t="str">
        <f>'1. All Data'!H6</f>
        <v>On Track to be Achieved</v>
      </c>
      <c r="E7" s="97"/>
      <c r="F7" s="125" t="str">
        <f>'1. All Data'!M6</f>
        <v>Fully Achieved</v>
      </c>
      <c r="G7" s="97"/>
      <c r="H7" s="126" t="str">
        <f>'1. All Data'!R6</f>
        <v>Fully Achieved</v>
      </c>
      <c r="I7" s="97"/>
      <c r="J7" s="126" t="str">
        <f>'1. All Data'!V6</f>
        <v>Fully Achieved</v>
      </c>
      <c r="T7" s="104" t="s">
        <v>78</v>
      </c>
    </row>
    <row r="8" spans="1:46" ht="99.75" customHeight="1">
      <c r="A8" s="95" t="str">
        <f>'1. All Data'!B7</f>
        <v>SC01</v>
      </c>
      <c r="B8" s="127" t="str">
        <f>'1. All Data'!C7</f>
        <v>Ensuring the right to food</v>
      </c>
      <c r="C8" s="128" t="str">
        <f>'1. All Data'!D7</f>
        <v>Work with partners to campaign for universal school meals by adopting and publicising a council motion</v>
      </c>
      <c r="D8" s="124" t="str">
        <f>'1. All Data'!H7</f>
        <v>Not Yet Due</v>
      </c>
      <c r="E8" s="97"/>
      <c r="F8" s="125" t="str">
        <f>'1. All Data'!M7</f>
        <v>Fully Achieved</v>
      </c>
      <c r="G8" s="97"/>
      <c r="H8" s="126" t="str">
        <f>'1. All Data'!R7</f>
        <v>Fully Achieved</v>
      </c>
      <c r="I8" s="97"/>
      <c r="J8" s="126" t="str">
        <f>'1. All Data'!V7</f>
        <v>Fully Achieved</v>
      </c>
      <c r="T8" s="104" t="s">
        <v>74</v>
      </c>
    </row>
    <row r="9" spans="1:46" ht="99.75" customHeight="1">
      <c r="A9" s="95" t="str">
        <f>'1. All Data'!B8</f>
        <v>SC02</v>
      </c>
      <c r="B9" s="127" t="str">
        <f>'1. All Data'!C8</f>
        <v>Ensuring the right to food</v>
      </c>
      <c r="C9" s="128" t="str">
        <f>'1. All Data'!D8</f>
        <v>Introduce community kitchens in existing council facilities</v>
      </c>
      <c r="D9" s="124" t="str">
        <f>'1. All Data'!H8</f>
        <v>Not Yet Due</v>
      </c>
      <c r="E9" s="96"/>
      <c r="F9" s="125" t="str">
        <f>'1. All Data'!M8</f>
        <v>On Track to be Achieved</v>
      </c>
      <c r="G9" s="97"/>
      <c r="H9" s="126" t="str">
        <f>'1. All Data'!R8</f>
        <v>On Track to be Achieved</v>
      </c>
      <c r="I9" s="97"/>
      <c r="J9" s="126" t="str">
        <f>'1. All Data'!V8</f>
        <v>Fully Achieved</v>
      </c>
    </row>
    <row r="10" spans="1:46" ht="99.75" customHeight="1">
      <c r="A10" s="95" t="str">
        <f>'1. All Data'!B9</f>
        <v>SC03</v>
      </c>
      <c r="B10" s="127" t="str">
        <f>'1. All Data'!C9</f>
        <v>Ensuring the right to food</v>
      </c>
      <c r="C10" s="128" t="str">
        <f>'1. All Data'!D9</f>
        <v>Adopt and publicise the Right to Food motion at Full Council meeting</v>
      </c>
      <c r="D10" s="124" t="str">
        <f>'1. All Data'!H9</f>
        <v>On Track to be Achieved</v>
      </c>
      <c r="E10" s="96"/>
      <c r="F10" s="125" t="str">
        <f>'1. All Data'!M9</f>
        <v>Fully Achieved</v>
      </c>
      <c r="G10" s="97"/>
      <c r="H10" s="126" t="str">
        <f>'1. All Data'!R9</f>
        <v>Fully Achieved</v>
      </c>
      <c r="I10" s="97"/>
      <c r="J10" s="126" t="str">
        <f>'1. All Data'!V9</f>
        <v>Fully Achieved</v>
      </c>
    </row>
    <row r="11" spans="1:46" ht="99.75" customHeight="1">
      <c r="A11" s="95" t="str">
        <f>'1. All Data'!B10</f>
        <v>CRS07</v>
      </c>
      <c r="B11" s="127" t="str">
        <f>'1. All Data'!C10</f>
        <v>Delivering Better Services to Support Homelessness</v>
      </c>
      <c r="C11" s="128" t="str">
        <f>'1. All Data'!D10</f>
        <v>Approve Refreshed Homelessness Strategy</v>
      </c>
      <c r="D11" s="124" t="str">
        <f>'1. All Data'!H10</f>
        <v>On Track to be Achieved</v>
      </c>
      <c r="E11" s="96"/>
      <c r="F11" s="125" t="str">
        <f>'1. All Data'!M10</f>
        <v>On Track to be Achieved</v>
      </c>
      <c r="G11" s="97"/>
      <c r="H11" s="126" t="str">
        <f>'1. All Data'!R10</f>
        <v>Fully Achieved</v>
      </c>
      <c r="I11" s="97"/>
      <c r="J11" s="126" t="str">
        <f>'1. All Data'!V10</f>
        <v>Fully Achieved</v>
      </c>
    </row>
    <row r="12" spans="1:46" ht="99.75" customHeight="1">
      <c r="A12" s="95" t="str">
        <f>'1. All Data'!B11</f>
        <v>CRS08</v>
      </c>
      <c r="B12" s="127" t="str">
        <f>'1. All Data'!C11</f>
        <v>Housing Strategy Initiatives: 
Update on Improvements to the Housing Register</v>
      </c>
      <c r="C12" s="128" t="str">
        <f>'1. All Data'!D11</f>
        <v>Produce an update report and next steps for revised Housing Register and Allocations Service Contract</v>
      </c>
      <c r="D12" s="124" t="str">
        <f>'1. All Data'!H11</f>
        <v>On Track to be Achieved</v>
      </c>
      <c r="E12" s="97"/>
      <c r="F12" s="125" t="str">
        <f>'1. All Data'!M11</f>
        <v>On Track to be Achieved</v>
      </c>
      <c r="G12" s="97"/>
      <c r="H12" s="126" t="str">
        <f>'1. All Data'!R11</f>
        <v>Fully Achieved</v>
      </c>
      <c r="I12" s="104"/>
      <c r="J12" s="126" t="str">
        <f>'1. All Data'!V11</f>
        <v>Fully Achieved</v>
      </c>
    </row>
    <row r="13" spans="1:46" ht="99.75" customHeight="1">
      <c r="A13" s="95" t="str">
        <f>'1. All Data'!B12</f>
        <v>CRS09</v>
      </c>
      <c r="B13" s="127" t="str">
        <f>'1. All Data'!C12</f>
        <v>Housing Strategy Initiatives: 
Update on Improvements to the Housing Register</v>
      </c>
      <c r="C13" s="128" t="str">
        <f>'1. All Data'!D12</f>
        <v>Performance report identifying the reduction in empty homes</v>
      </c>
      <c r="D13" s="124" t="str">
        <f>'1. All Data'!H12</f>
        <v>Not Yet Due</v>
      </c>
      <c r="E13" s="97"/>
      <c r="F13" s="125" t="str">
        <f>'1. All Data'!M12</f>
        <v>Not Yet Due</v>
      </c>
      <c r="G13" s="97"/>
      <c r="H13" s="126" t="str">
        <f>'1. All Data'!R12</f>
        <v>On Track to be Achieved</v>
      </c>
      <c r="I13" s="97"/>
      <c r="J13" s="126" t="str">
        <f>'1. All Data'!V12</f>
        <v>Fully Achieved</v>
      </c>
    </row>
    <row r="14" spans="1:46" ht="99.75" customHeight="1">
      <c r="A14" s="95" t="str">
        <f>'1. All Data'!B13</f>
        <v>CRS10</v>
      </c>
      <c r="B14" s="127" t="str">
        <f>'1. All Data'!C13</f>
        <v>Delivering Better Services to Support Homelessness</v>
      </c>
      <c r="C14" s="128" t="str">
        <f>'1. All Data'!D13</f>
        <v>Average time from appointment to initial decision for homeless applicants of 3 days</v>
      </c>
      <c r="D14" s="124" t="str">
        <f>'1. All Data'!H13</f>
        <v>On Track to be Achieved</v>
      </c>
      <c r="E14" s="97"/>
      <c r="F14" s="125" t="str">
        <f>'1. All Data'!M13</f>
        <v>On Track to be Achieved</v>
      </c>
      <c r="G14" s="97"/>
      <c r="H14" s="126" t="str">
        <f>'1. All Data'!R13</f>
        <v>On Track to be Achieved</v>
      </c>
      <c r="I14" s="97"/>
      <c r="J14" s="126" t="str">
        <f>'1. All Data'!V13</f>
        <v>Fully Achieved</v>
      </c>
    </row>
    <row r="15" spans="1:46" ht="99.75" customHeight="1">
      <c r="A15" s="95" t="str">
        <f>'1. All Data'!B15</f>
        <v>FTM01</v>
      </c>
      <c r="B15" s="127" t="str">
        <f>'1. All Data'!C15</f>
        <v>Delivering Better Services to Support the Cost of Living Crisis</v>
      </c>
      <c r="C15" s="128" t="str">
        <f>'1. All Data'!D15</f>
        <v>Conduct a review of Local Council Tax Reduction Scheme</v>
      </c>
      <c r="D15" s="124" t="str">
        <f>'1. All Data'!H15</f>
        <v>On Track to be Achieved</v>
      </c>
      <c r="E15" s="97"/>
      <c r="F15" s="125" t="str">
        <f>'1. All Data'!M15</f>
        <v>On Track to be Achieved</v>
      </c>
      <c r="G15" s="97"/>
      <c r="H15" s="126" t="str">
        <f>'1. All Data'!R15</f>
        <v>Fully Achieved</v>
      </c>
      <c r="I15" s="97"/>
      <c r="J15" s="126" t="str">
        <f>'1. All Data'!V15</f>
        <v>Fully Achieved</v>
      </c>
    </row>
    <row r="16" spans="1:46" ht="99.75" customHeight="1">
      <c r="A16" s="95" t="str">
        <f>'1. All Data'!B16</f>
        <v>FTM02</v>
      </c>
      <c r="B16" s="127" t="str">
        <f>'1. All Data'!C16</f>
        <v>Delivering Better Services to Support the Cost of Living Crisis</v>
      </c>
      <c r="C16" s="128" t="str">
        <f>'1. All Data'!D16</f>
        <v xml:space="preserve">Time Taken to Process Benefit New Claims and Change Events (Previously NI 181)
Average time: 4.5 days  </v>
      </c>
      <c r="D16" s="124" t="str">
        <f>'1. All Data'!H16</f>
        <v>On Track to be Achieved</v>
      </c>
      <c r="E16" s="97"/>
      <c r="F16" s="125" t="str">
        <f>'1. All Data'!M16</f>
        <v>On Track to be Achieved</v>
      </c>
      <c r="G16" s="97"/>
      <c r="H16" s="126" t="str">
        <f>'1. All Data'!R16</f>
        <v>On Track to be Achieved</v>
      </c>
      <c r="I16" s="97"/>
      <c r="J16" s="126" t="str">
        <f>'1. All Data'!V16</f>
        <v>Fully Achieved</v>
      </c>
    </row>
    <row r="17" spans="1:10" ht="99.75" customHeight="1">
      <c r="A17" s="95" t="str">
        <f>'1. All Data'!B17</f>
        <v>FTM03a</v>
      </c>
      <c r="B17" s="127" t="str">
        <f>'1. All Data'!C17</f>
        <v xml:space="preserve">Continue to Maximise Income Through Effective Collection Processes </v>
      </c>
      <c r="C17" s="128" t="str">
        <f>'1. All Data'!D17</f>
        <v>Former Years Arrears for: 
Council Tax: 2,500,000</v>
      </c>
      <c r="D17" s="124" t="str">
        <f>'1. All Data'!H17</f>
        <v>On Track to be Achieved</v>
      </c>
      <c r="E17" s="97"/>
      <c r="F17" s="125" t="str">
        <f>'1. All Data'!M17</f>
        <v>On Track to be Achieved</v>
      </c>
      <c r="G17" s="97"/>
      <c r="H17" s="126" t="str">
        <f>'1. All Data'!R17</f>
        <v>On Track to be Achieved</v>
      </c>
      <c r="I17" s="97"/>
      <c r="J17" s="126" t="str">
        <f>'1. All Data'!V17</f>
        <v>Fully Achieved</v>
      </c>
    </row>
    <row r="18" spans="1:10" ht="99.75" customHeight="1">
      <c r="A18" s="95" t="str">
        <f>'1. All Data'!B18</f>
        <v>FTM03b</v>
      </c>
      <c r="B18" s="127" t="str">
        <f>'1. All Data'!C18</f>
        <v xml:space="preserve">Continue to Maximise Income Through Effective Collection Processes </v>
      </c>
      <c r="C18" s="128" t="str">
        <f>'1. All Data'!D18</f>
        <v>Former Years Arrears for: 
NNDR: 1,500,000</v>
      </c>
      <c r="D18" s="124" t="str">
        <f>'1. All Data'!H18</f>
        <v>On Track to be Achieved</v>
      </c>
      <c r="E18" s="97"/>
      <c r="F18" s="125" t="str">
        <f>'1. All Data'!M18</f>
        <v>On Track to be Achieved</v>
      </c>
      <c r="G18" s="97"/>
      <c r="H18" s="126" t="str">
        <f>'1. All Data'!R18</f>
        <v>On Track to be Achieved</v>
      </c>
      <c r="I18" s="97"/>
      <c r="J18" s="126" t="str">
        <f>'1. All Data'!V18</f>
        <v>Fully Achieved</v>
      </c>
    </row>
    <row r="19" spans="1:10" ht="99.75" customHeight="1">
      <c r="A19" s="95" t="str">
        <f>'1. All Data'!B19</f>
        <v>FTM03c</v>
      </c>
      <c r="B19" s="127" t="str">
        <f>'1. All Data'!C19</f>
        <v xml:space="preserve">Continue to Maximise Income Through Effective Collection Processes </v>
      </c>
      <c r="C19" s="128" t="str">
        <f>'1. All Data'!D19</f>
        <v>Former Years Arrears for: 
Sundry Debts: £80,000</v>
      </c>
      <c r="D19" s="124" t="str">
        <f>'1. All Data'!H19</f>
        <v>Not Yet Due</v>
      </c>
      <c r="E19" s="96"/>
      <c r="F19" s="125" t="str">
        <f>'1. All Data'!M19</f>
        <v>On Track to be Achieved</v>
      </c>
      <c r="G19" s="97"/>
      <c r="H19" s="126" t="str">
        <f>'1. All Data'!R19</f>
        <v>On Track to be Achieved</v>
      </c>
      <c r="I19" s="97"/>
      <c r="J19" s="126" t="str">
        <f>'1. All Data'!V19</f>
        <v>Fully Achieved</v>
      </c>
    </row>
    <row r="20" spans="1:10" ht="99.75" customHeight="1">
      <c r="A20" s="95" t="str">
        <f>'1. All Data'!B20</f>
        <v>FTM04a</v>
      </c>
      <c r="B20" s="127" t="str">
        <f>'1. All Data'!C20</f>
        <v>Working Towards the Reduction of Claimant Error Housing Benefit Overpayments (HBOPs)</v>
      </c>
      <c r="C20" s="128" t="str">
        <f>'1. All Data'!D20</f>
        <v xml:space="preserve">% HBOPs recovered During the Year: 90% </v>
      </c>
      <c r="D20" s="124" t="str">
        <f>'1. All Data'!H20</f>
        <v>On Track to be Achieved</v>
      </c>
      <c r="E20" s="96"/>
      <c r="F20" s="125" t="str">
        <f>'1. All Data'!M20</f>
        <v>On Track to be Achieved</v>
      </c>
      <c r="G20" s="97"/>
      <c r="H20" s="126" t="str">
        <f>'1. All Data'!R20</f>
        <v>On Track to be Achieved</v>
      </c>
      <c r="I20" s="97"/>
      <c r="J20" s="126" t="str">
        <f>'1. All Data'!V20</f>
        <v>Fully Achieved</v>
      </c>
    </row>
    <row r="21" spans="1:10" ht="99.75" customHeight="1">
      <c r="A21" s="95" t="str">
        <f>'1. All Data'!B21</f>
        <v>FTM04b</v>
      </c>
      <c r="B21" s="127" t="str">
        <f>'1. All Data'!C21</f>
        <v>Working Towards the Reduction of Claimant Error Housing Benefit Overpayments (HBOPs)</v>
      </c>
      <c r="C21" s="128" t="str">
        <f>'1. All Data'!D21</f>
        <v xml:space="preserve"> 
% of HBOPS Processed and on Payment Arrangement: 90% </v>
      </c>
      <c r="D21" s="124" t="str">
        <f>'1. All Data'!H21</f>
        <v>On Track to be Achieved</v>
      </c>
      <c r="E21" s="97"/>
      <c r="F21" s="125" t="str">
        <f>'1. All Data'!M21</f>
        <v>On Track to be Achieved</v>
      </c>
      <c r="G21" s="97"/>
      <c r="H21" s="126" t="str">
        <f>'1. All Data'!R21</f>
        <v>On Track to be Achieved</v>
      </c>
      <c r="I21" s="97"/>
      <c r="J21" s="126" t="str">
        <f>'1. All Data'!V21</f>
        <v>Numerical Outturn Within 5% Tolerance</v>
      </c>
    </row>
    <row r="22" spans="1:10" ht="99.75" customHeight="1">
      <c r="A22" s="95" t="str">
        <f>'1. All Data'!B22</f>
        <v>FTM04c</v>
      </c>
      <c r="B22" s="127" t="str">
        <f>'1. All Data'!C22</f>
        <v>Working Towards the Reduction of Claimant Error Housing Benefit Overpayments (HBOPs)</v>
      </c>
      <c r="C22" s="128" t="str">
        <f>'1. All Data'!D22</f>
        <v xml:space="preserve">
In Year HBOPs Recovered During the Year: 50%</v>
      </c>
      <c r="D22" s="124" t="str">
        <f>'1. All Data'!H22</f>
        <v>On Track to be Achieved</v>
      </c>
      <c r="E22" s="97"/>
      <c r="F22" s="125" t="str">
        <f>'1. All Data'!M22</f>
        <v>On Track to be Achieved</v>
      </c>
      <c r="G22" s="97"/>
      <c r="H22" s="126" t="str">
        <f>'1. All Data'!R22</f>
        <v>On Track to be Achieved</v>
      </c>
      <c r="I22" s="97"/>
      <c r="J22" s="126" t="str">
        <f>'1. All Data'!V22</f>
        <v>Fully Achieved</v>
      </c>
    </row>
    <row r="23" spans="1:10" ht="99.75" customHeight="1">
      <c r="A23" s="95" t="str">
        <f>'1. All Data'!B23</f>
        <v>FTM05a</v>
      </c>
      <c r="B23" s="127" t="str">
        <f>'1. All Data'!C23</f>
        <v xml:space="preserve">Continue to Maximise Income Through Effective Collection Processes 
(Previously BV 9) </v>
      </c>
      <c r="C23" s="128" t="str">
        <f>'1. All Data'!D23</f>
        <v xml:space="preserve">Collection Rates of - 
    Council Tax : 98% </v>
      </c>
      <c r="D23" s="124" t="str">
        <f>'1. All Data'!H23</f>
        <v>On Track to be Achieved</v>
      </c>
      <c r="E23" s="97"/>
      <c r="F23" s="125" t="str">
        <f>'1. All Data'!M23</f>
        <v>On Track to be Achieved</v>
      </c>
      <c r="G23" s="97"/>
      <c r="H23" s="126" t="str">
        <f>'1. All Data'!R23</f>
        <v>On Track to be Achieved</v>
      </c>
      <c r="I23" s="97"/>
      <c r="J23" s="126" t="str">
        <f>'1. All Data'!V23</f>
        <v>Numerical Outturn Within 5% Tolerance</v>
      </c>
    </row>
    <row r="24" spans="1:10" ht="99.75" customHeight="1">
      <c r="A24" s="95" t="str">
        <f>'1. All Data'!B24</f>
        <v>FTM05b</v>
      </c>
      <c r="B24" s="127" t="str">
        <f>'1. All Data'!C24</f>
        <v xml:space="preserve">Continue to Maximise Income Through Effective Collection Processes 
(Previously BV 10) </v>
      </c>
      <c r="C24" s="128" t="str">
        <f>'1. All Data'!D24</f>
        <v>Collection Rates of - 
    NNDR : 99%</v>
      </c>
      <c r="D24" s="124" t="str">
        <f>'1. All Data'!H24</f>
        <v>On Track to be Achieved</v>
      </c>
      <c r="E24" s="97"/>
      <c r="F24" s="125" t="str">
        <f>'1. All Data'!M24</f>
        <v>On Track to be Achieved</v>
      </c>
      <c r="G24" s="97"/>
      <c r="H24" s="126" t="str">
        <f>'1. All Data'!R24</f>
        <v>On Track to be Achieved</v>
      </c>
      <c r="I24" s="97"/>
      <c r="J24" s="126" t="str">
        <f>'1. All Data'!V24</f>
        <v>Numerical Outturn Within 5% Tolerance</v>
      </c>
    </row>
    <row r="25" spans="1:10" ht="99.75" customHeight="1">
      <c r="A25" s="95" t="str">
        <f>'1. All Data'!B25</f>
        <v>PB10</v>
      </c>
      <c r="B25" s="127" t="str">
        <f>'1. All Data'!C25</f>
        <v>Building a Fairer Local Economy</v>
      </c>
      <c r="C25" s="128" t="str">
        <f>'1. All Data'!D25</f>
        <v>Work with partners to create a fair employment charter</v>
      </c>
      <c r="D25" s="124" t="str">
        <f>'1. All Data'!H25</f>
        <v>On Track to be Achieved</v>
      </c>
      <c r="E25" s="97"/>
      <c r="F25" s="125" t="str">
        <f>'1. All Data'!M25</f>
        <v>On Track to be Achieved</v>
      </c>
      <c r="G25" s="97"/>
      <c r="H25" s="126" t="str">
        <f>'1. All Data'!R25</f>
        <v>Fully Achieved</v>
      </c>
      <c r="I25" s="97"/>
      <c r="J25" s="126" t="str">
        <f>'1. All Data'!V25</f>
        <v>Fully Achieved</v>
      </c>
    </row>
    <row r="26" spans="1:10" ht="99.75" customHeight="1">
      <c r="A26" s="95" t="str">
        <f>'1. All Data'!B26</f>
        <v>LDR03</v>
      </c>
      <c r="B26" s="127" t="str">
        <f>'1. All Data'!C26</f>
        <v>Increasing Staffing Availability Through Reduced Sickness</v>
      </c>
      <c r="C26" s="128" t="str">
        <f>'1. All Data'!D26</f>
        <v>Short Term Sickness Days Average 3.5 days per FTE</v>
      </c>
      <c r="D26" s="124" t="str">
        <f>'1. All Data'!H26</f>
        <v>On Track to be Achieved</v>
      </c>
      <c r="E26" s="97"/>
      <c r="F26" s="125" t="str">
        <f>'1. All Data'!M26</f>
        <v>On Track to be Achieved</v>
      </c>
      <c r="G26" s="104"/>
      <c r="H26" s="126" t="str">
        <f>'1. All Data'!R26</f>
        <v>On Track to be Achieved</v>
      </c>
      <c r="I26" s="97"/>
      <c r="J26" s="126" t="str">
        <f>'1. All Data'!V26</f>
        <v>Fully Achieved</v>
      </c>
    </row>
    <row r="27" spans="1:10" ht="99.75" customHeight="1">
      <c r="A27" s="95" t="str">
        <f>'1. All Data'!B27</f>
        <v>LDR04</v>
      </c>
      <c r="B27" s="127" t="str">
        <f>'1. All Data'!C27</f>
        <v>Improve On The Average Time To Pay Creditors</v>
      </c>
      <c r="C27" s="128" t="str">
        <f>'1. All Data'!D27</f>
        <v>Improve purchase order transactions so that the next time Internal Audit review practice in Q4 2023/24, 80% of POs are in place from the Internal Audit sample</v>
      </c>
      <c r="D27" s="124" t="str">
        <f>'1. All Data'!H27</f>
        <v>Not Yet Due</v>
      </c>
      <c r="E27" s="97"/>
      <c r="F27" s="125" t="str">
        <f>'1. All Data'!M27</f>
        <v>Not Yet Due</v>
      </c>
      <c r="G27" s="97"/>
      <c r="H27" s="126" t="str">
        <f>'1. All Data'!R27</f>
        <v>Not Yet Due</v>
      </c>
      <c r="I27" s="97"/>
      <c r="J27" s="126" t="str">
        <f>'1. All Data'!V27</f>
        <v>Fully Achieved</v>
      </c>
    </row>
    <row r="28" spans="1:10" ht="99.75" customHeight="1">
      <c r="A28" s="95" t="str">
        <f>'1. All Data'!B28</f>
        <v>ID02</v>
      </c>
      <c r="B28" s="127" t="str">
        <f>'1. All Data'!C28</f>
        <v>Improve local democracy and consultation</v>
      </c>
      <c r="C28" s="128" t="str">
        <f>'1. All Data'!D28</f>
        <v>Hold Question &amp; Answer sessions with Cabinet Members using online and in-person community forums on ad hoc basis</v>
      </c>
      <c r="D28" s="124" t="str">
        <f>'1. All Data'!H28</f>
        <v>Not Yet Due</v>
      </c>
      <c r="E28" s="96"/>
      <c r="F28" s="125" t="str">
        <f>'1. All Data'!M28</f>
        <v>Fully Achieved</v>
      </c>
      <c r="G28" s="97"/>
      <c r="H28" s="126" t="str">
        <f>'1. All Data'!R28</f>
        <v>Fully Achieved</v>
      </c>
      <c r="I28" s="97"/>
      <c r="J28" s="126" t="str">
        <f>'1. All Data'!V28</f>
        <v>Fully Achieved</v>
      </c>
    </row>
    <row r="29" spans="1:10" ht="99.75" customHeight="1">
      <c r="A29" s="95" t="str">
        <f>'1. All Data'!B29</f>
        <v>ID03</v>
      </c>
      <c r="B29" s="127" t="str">
        <f>'1. All Data'!C29</f>
        <v>Improve local democracy and consultation</v>
      </c>
      <c r="C29" s="128" t="str">
        <f>'1. All Data'!D29</f>
        <v>Livestream Council meetings</v>
      </c>
      <c r="D29" s="124" t="str">
        <f>'1. All Data'!H29</f>
        <v>On Track to be Achieved</v>
      </c>
      <c r="E29" s="97"/>
      <c r="F29" s="125" t="str">
        <f>'1. All Data'!M29</f>
        <v>Fully Achieved</v>
      </c>
      <c r="G29" s="105"/>
      <c r="H29" s="126" t="str">
        <f>'1. All Data'!R29</f>
        <v>Fully Achieved</v>
      </c>
      <c r="I29" s="97"/>
      <c r="J29" s="126" t="str">
        <f>'1. All Data'!V29</f>
        <v>Fully Achieved</v>
      </c>
    </row>
    <row r="30" spans="1:10" ht="99.75" customHeight="1">
      <c r="A30" s="95" t="str">
        <f>'1. All Data'!B30</f>
        <v>ID04</v>
      </c>
      <c r="B30" s="127" t="str">
        <f>'1. All Data'!C30</f>
        <v>Improve local democracy and consultation</v>
      </c>
      <c r="C30" s="128" t="str">
        <f>'1. All Data'!D30</f>
        <v>Revoke Council Constitution changes from December 2022 and introduce public participation at scrutiny committees</v>
      </c>
      <c r="D30" s="124" t="str">
        <f>'1. All Data'!H30</f>
        <v>On Track to be Achieved</v>
      </c>
      <c r="E30" s="97"/>
      <c r="F30" s="125" t="str">
        <f>'1. All Data'!M30</f>
        <v>Fully Achieved</v>
      </c>
      <c r="G30" s="97"/>
      <c r="H30" s="126" t="str">
        <f>'1. All Data'!R30</f>
        <v>Fully Achieved</v>
      </c>
      <c r="I30" s="97"/>
      <c r="J30" s="126" t="str">
        <f>'1. All Data'!V30</f>
        <v>Fully Achieved</v>
      </c>
    </row>
    <row r="31" spans="1:10" ht="99.75" customHeight="1">
      <c r="A31" s="95" t="str">
        <f>'1. All Data'!B31</f>
        <v>ID05</v>
      </c>
      <c r="B31" s="127" t="str">
        <f>'1. All Data'!C31</f>
        <v>Improve local democracy and consultation</v>
      </c>
      <c r="C31" s="128" t="str">
        <f>'1. All Data'!D31</f>
        <v>Carry out a review of the Communications, Engagement and Consultation Strategy to improve existing council communications work</v>
      </c>
      <c r="D31" s="124" t="str">
        <f>'1. All Data'!H31</f>
        <v>Not Yet Due</v>
      </c>
      <c r="E31" s="97"/>
      <c r="F31" s="125" t="str">
        <f>'1. All Data'!M31</f>
        <v>On Track to be Achieved</v>
      </c>
      <c r="G31" s="97"/>
      <c r="H31" s="126" t="str">
        <f>'1. All Data'!R31</f>
        <v>Fully Achieved</v>
      </c>
      <c r="I31" s="97"/>
      <c r="J31" s="126" t="str">
        <f>'1. All Data'!V31</f>
        <v>Fully Achieved</v>
      </c>
    </row>
    <row r="32" spans="1:10" ht="99.75" customHeight="1">
      <c r="A32" s="95" t="str">
        <f>'1. All Data'!B32</f>
        <v>ID06</v>
      </c>
      <c r="B32" s="127" t="str">
        <f>'1. All Data'!C32</f>
        <v>Improve local democracy and consultation</v>
      </c>
      <c r="C32" s="128" t="str">
        <f>'1. All Data'!D32</f>
        <v>Introduce a Citizens Assembly</v>
      </c>
      <c r="D32" s="124" t="str">
        <f>'1. All Data'!H32</f>
        <v>Not Yet Due</v>
      </c>
      <c r="E32" s="96"/>
      <c r="F32" s="125" t="str">
        <f>'1. All Data'!M32</f>
        <v>On Track to be Achieved</v>
      </c>
      <c r="G32" s="97"/>
      <c r="H32" s="126" t="str">
        <f>'1. All Data'!R32</f>
        <v>On Track to be Achieved</v>
      </c>
      <c r="I32" s="97"/>
      <c r="J32" s="126" t="str">
        <f>'1. All Data'!V32</f>
        <v>Fully Achieved</v>
      </c>
    </row>
    <row r="33" spans="1:10" ht="99.75" customHeight="1">
      <c r="A33" s="95" t="str">
        <f>'1. All Data'!B33</f>
        <v>PB06b</v>
      </c>
      <c r="B33" s="127" t="str">
        <f>'1. All Data'!C33</f>
        <v>Building a Fairer Local Economy</v>
      </c>
      <c r="C33" s="128" t="str">
        <f>'1. All Data'!D33</f>
        <v>Incentivise existing providers to recruit new staff/apprentices</v>
      </c>
      <c r="D33" s="124" t="str">
        <f>'1. All Data'!H33</f>
        <v>Not Yet Due</v>
      </c>
      <c r="E33" s="97"/>
      <c r="F33" s="125" t="str">
        <f>'1. All Data'!M33</f>
        <v>On Track to be Achieved</v>
      </c>
      <c r="G33" s="97"/>
      <c r="H33" s="126" t="str">
        <f>'1. All Data'!R33</f>
        <v>Fully Achieved</v>
      </c>
      <c r="I33" s="97"/>
      <c r="J33" s="126" t="str">
        <f>'1. All Data'!V33</f>
        <v>Fully Achieved</v>
      </c>
    </row>
    <row r="34" spans="1:10" ht="99.75" customHeight="1">
      <c r="A34" s="95" t="str">
        <f>'1. All Data'!B34</f>
        <v>PH05</v>
      </c>
      <c r="B34" s="127" t="str">
        <f>'1. All Data'!C34</f>
        <v>Protecting our Heritage</v>
      </c>
      <c r="C34" s="128" t="str">
        <f>'1. All Data'!D34</f>
        <v>Upgrade the Market Hall working group to a scrutiny committee</v>
      </c>
      <c r="D34" s="124" t="str">
        <f>'1. All Data'!H34</f>
        <v>Fully Achieved</v>
      </c>
      <c r="E34" s="97"/>
      <c r="F34" s="125" t="str">
        <f>'1. All Data'!M34</f>
        <v>Fully Achieved</v>
      </c>
      <c r="G34" s="97"/>
      <c r="H34" s="126" t="str">
        <f>'1. All Data'!R34</f>
        <v>Fully Achieved</v>
      </c>
      <c r="I34" s="97"/>
      <c r="J34" s="126" t="str">
        <f>'1. All Data'!V34</f>
        <v>Fully Achieved</v>
      </c>
    </row>
    <row r="35" spans="1:10" ht="99.75" customHeight="1">
      <c r="A35" s="95" t="str">
        <f>'1. All Data'!B35</f>
        <v>SC05</v>
      </c>
      <c r="B35" s="127" t="str">
        <f>'1. All Data'!C35</f>
        <v>Standing up for our NHS</v>
      </c>
      <c r="C35" s="128" t="str">
        <f>'1. All Data'!D35</f>
        <v>Create a sole focus for health scrutiny in a single scrutiny committee</v>
      </c>
      <c r="D35" s="124" t="str">
        <f>'1. All Data'!H35</f>
        <v>Fully Achieved</v>
      </c>
      <c r="E35" s="96"/>
      <c r="F35" s="125" t="str">
        <f>'1. All Data'!M35</f>
        <v>Fully Achieved</v>
      </c>
      <c r="G35" s="97"/>
      <c r="H35" s="126" t="str">
        <f>'1. All Data'!R35</f>
        <v>Fully Achieved</v>
      </c>
      <c r="I35" s="97"/>
      <c r="J35" s="126" t="str">
        <f>'1. All Data'!V35</f>
        <v>Fully Achieved</v>
      </c>
    </row>
    <row r="36" spans="1:10" ht="99.75" customHeight="1">
      <c r="A36" s="95" t="str">
        <f>'1. All Data'!B36</f>
        <v>TCD09a</v>
      </c>
      <c r="B36" s="127" t="str">
        <f>'1. All Data'!C36</f>
        <v>Improve awareness of Council Services, venues and initiatives</v>
      </c>
      <c r="C36" s="128" t="str">
        <f>'1. All Data'!D36</f>
        <v>Continue to redevelop Council’s corporate website</v>
      </c>
      <c r="D36" s="124" t="str">
        <f>'1. All Data'!H36</f>
        <v>On Track to be Achieved</v>
      </c>
      <c r="E36" s="97"/>
      <c r="F36" s="125" t="str">
        <f>'1. All Data'!M36</f>
        <v>Fully Achieved</v>
      </c>
      <c r="G36" s="97"/>
      <c r="H36" s="126" t="str">
        <f>'1. All Data'!R36</f>
        <v>Fully Achieved</v>
      </c>
      <c r="I36" s="97"/>
      <c r="J36" s="126" t="str">
        <f>'1. All Data'!V36</f>
        <v>Fully Achieved</v>
      </c>
    </row>
    <row r="37" spans="1:10" ht="99.75" customHeight="1">
      <c r="A37" s="95" t="str">
        <f>'1. All Data'!B37</f>
        <v>TCD10</v>
      </c>
      <c r="B37" s="127" t="str">
        <f>'1. All Data'!C37</f>
        <v xml:space="preserve">Supporting Sport and Leisure Delivery </v>
      </c>
      <c r="C37" s="128" t="str">
        <f>'1. All Data'!D37</f>
        <v>Review outdoor sports provision in Uttoxeter, including the proposed Sports Hub and other potential outdoor sports sites</v>
      </c>
      <c r="D37" s="124" t="str">
        <f>'1. All Data'!H37</f>
        <v>Not Yet Due</v>
      </c>
      <c r="E37" s="96"/>
      <c r="F37" s="125" t="str">
        <f>'1. All Data'!M37</f>
        <v>On Track to be Achieved</v>
      </c>
      <c r="G37" s="97"/>
      <c r="H37" s="126" t="str">
        <f>'1. All Data'!R37</f>
        <v>On Track to be Achieved</v>
      </c>
      <c r="I37" s="97"/>
      <c r="J37" s="126" t="str">
        <f>'1. All Data'!V37</f>
        <v>Fully Achieved</v>
      </c>
    </row>
    <row r="38" spans="1:10" ht="99.75" customHeight="1">
      <c r="A38" s="95" t="str">
        <f>'1. All Data'!B38</f>
        <v>TCD11</v>
      </c>
      <c r="B38" s="127" t="str">
        <f>'1. All Data'!C38</f>
        <v>Supporting Sport and Leisure Delivery</v>
      </c>
      <c r="C38" s="128" t="str">
        <f>'1. All Data'!D38</f>
        <v>Updated Playing Pitch Strategy and review of indoor facilities completed</v>
      </c>
      <c r="D38" s="124" t="str">
        <f>'1. All Data'!H38</f>
        <v>On Track to be Achieved</v>
      </c>
      <c r="E38" s="97"/>
      <c r="F38" s="125" t="str">
        <f>'1. All Data'!M38</f>
        <v>On Track to be Achieved</v>
      </c>
      <c r="G38" s="105"/>
      <c r="H38" s="126" t="str">
        <f>'1. All Data'!R38</f>
        <v>On Track to be Achieved</v>
      </c>
      <c r="I38" s="97"/>
      <c r="J38" s="126" t="str">
        <f>'1. All Data'!V38</f>
        <v>Fully Achieved</v>
      </c>
    </row>
    <row r="39" spans="1:10" ht="99.75" customHeight="1">
      <c r="A39" s="95" t="str">
        <f>'1. All Data'!B39</f>
        <v>TCD12</v>
      </c>
      <c r="B39" s="127" t="str">
        <f>'1. All Data'!C39</f>
        <v xml:space="preserve">Maintain Robust Mechanisms for Contract Managing the Leisure Service Arrangements </v>
      </c>
      <c r="C39" s="128" t="str">
        <f>'1. All Data'!D39</f>
        <v>Report on the performance of the Leisure Operator on a quarterly basis</v>
      </c>
      <c r="D39" s="124" t="str">
        <f>'1. All Data'!H39</f>
        <v>On Track to be Achieved</v>
      </c>
      <c r="E39" s="96"/>
      <c r="F39" s="125" t="str">
        <f>'1. All Data'!M39</f>
        <v>On Track to be Achieved</v>
      </c>
      <c r="G39" s="105"/>
      <c r="H39" s="126" t="str">
        <f>'1. All Data'!R39</f>
        <v>On Track to be Achieved</v>
      </c>
      <c r="I39" s="97"/>
      <c r="J39" s="126" t="str">
        <f>'1. All Data'!V39</f>
        <v>Fully Achieved</v>
      </c>
    </row>
    <row r="40" spans="1:10" ht="99.75" customHeight="1">
      <c r="A40" s="95" t="str">
        <f>'1. All Data'!B40</f>
        <v>TCD13</v>
      </c>
      <c r="B40" s="127" t="str">
        <f>'1. All Data'!C40</f>
        <v>Supporting Sport and Leisure Delivery</v>
      </c>
      <c r="C40" s="128" t="str">
        <f>'1. All Data'!D40</f>
        <v>Work with our Leisure Operator to deliver an enhanced play day experience during summer 2023, providing free access for our local communities.</v>
      </c>
      <c r="D40" s="124" t="str">
        <f>'1. All Data'!H40</f>
        <v>On Track to be Achieved</v>
      </c>
      <c r="E40" s="97"/>
      <c r="F40" s="125" t="str">
        <f>'1. All Data'!M40</f>
        <v>Fully Achieved</v>
      </c>
      <c r="G40" s="97"/>
      <c r="H40" s="126" t="str">
        <f>'1. All Data'!R40</f>
        <v>Fully Achieved</v>
      </c>
      <c r="I40" s="97"/>
      <c r="J40" s="126" t="str">
        <f>'1. All Data'!V40</f>
        <v>Fully Achieved</v>
      </c>
    </row>
    <row r="41" spans="1:10" ht="99.75" customHeight="1">
      <c r="A41" s="95" t="str">
        <f>'1. All Data'!B41</f>
        <v>TCD14</v>
      </c>
      <c r="B41" s="127" t="str">
        <f>'1. All Data'!C41</f>
        <v>Developing Healthy Lifestyles</v>
      </c>
      <c r="C41" s="128" t="str">
        <f>'1. All Data'!D41</f>
        <v>Support the Better Health programme into the delivery phase and represent East Staffordshire through quarterly meetings</v>
      </c>
      <c r="D41" s="124" t="str">
        <f>'1. All Data'!H41</f>
        <v>On Track to be Achieved</v>
      </c>
      <c r="E41" s="97"/>
      <c r="F41" s="125" t="str">
        <f>'1. All Data'!M41</f>
        <v>On Track to be Achieved</v>
      </c>
      <c r="G41" s="97"/>
      <c r="H41" s="126" t="str">
        <f>'1. All Data'!R41</f>
        <v>On Track to be Achieved</v>
      </c>
      <c r="I41" s="97"/>
      <c r="J41" s="126" t="str">
        <f>'1. All Data'!V41</f>
        <v>Fully Achieved</v>
      </c>
    </row>
    <row r="42" spans="1:10" ht="99.75" customHeight="1">
      <c r="A42" s="95" t="str">
        <f>'1. All Data'!B42</f>
        <v>TCD15</v>
      </c>
      <c r="B42" s="127" t="str">
        <f>'1. All Data'!C42</f>
        <v>Supporting Sport and Leisure Delivery</v>
      </c>
      <c r="C42" s="128" t="str">
        <f>'1. All Data'!D42</f>
        <v>Undertake a review of the grant funding process that currently takes place through the East Staffordshire Sports Council</v>
      </c>
      <c r="D42" s="124" t="str">
        <f>'1. All Data'!H42</f>
        <v>On Track to be Achieved</v>
      </c>
      <c r="E42" s="96"/>
      <c r="F42" s="125" t="str">
        <f>'1. All Data'!M42</f>
        <v>Fully Achieved</v>
      </c>
      <c r="G42" s="105"/>
      <c r="H42" s="126" t="str">
        <f>'1. All Data'!R42</f>
        <v>Fully Achieved</v>
      </c>
      <c r="I42" s="105"/>
      <c r="J42" s="126" t="str">
        <f>'1. All Data'!V42</f>
        <v>Fully Achieved</v>
      </c>
    </row>
    <row r="43" spans="1:10" ht="99.75" customHeight="1">
      <c r="A43" s="95" t="str">
        <f>'1. All Data'!B43</f>
        <v>LDR01</v>
      </c>
      <c r="B43" s="127" t="str">
        <f>'1. All Data'!C43</f>
        <v>Further Enhancing Corporate Communications</v>
      </c>
      <c r="C43" s="128" t="str">
        <f>'1. All Data'!D43</f>
        <v>Introduce a regular Business online newsletter, delivering a minimum of 6 newsletters</v>
      </c>
      <c r="D43" s="124" t="str">
        <f>'1. All Data'!H43</f>
        <v>On Track to be Achieved</v>
      </c>
      <c r="E43" s="96"/>
      <c r="F43" s="125" t="str">
        <f>'1. All Data'!M43</f>
        <v>On Track to be Achieved</v>
      </c>
      <c r="G43" s="97"/>
      <c r="H43" s="126" t="str">
        <f>'1. All Data'!R43</f>
        <v>On Track to be Achieved</v>
      </c>
      <c r="I43" s="97"/>
      <c r="J43" s="126" t="str">
        <f>'1. All Data'!V43</f>
        <v>Fully Achieved</v>
      </c>
    </row>
    <row r="44" spans="1:10" ht="99.75" customHeight="1">
      <c r="A44" s="95" t="str">
        <f>'1. All Data'!B44</f>
        <v>LDR02</v>
      </c>
      <c r="B44" s="127" t="str">
        <f>'1. All Data'!C44</f>
        <v>Enhancing Procurement and Contract Management Processes</v>
      </c>
      <c r="C44" s="128" t="str">
        <f>'1. All Data'!D44</f>
        <v>Create a Procurement Improvement Action Plan, based on Whole Council Spend Analysis</v>
      </c>
      <c r="D44" s="124" t="str">
        <f>'1. All Data'!H44</f>
        <v>On Track to be Achieved</v>
      </c>
      <c r="E44" s="96"/>
      <c r="F44" s="125" t="str">
        <f>'1. All Data'!M44</f>
        <v>On Track to be Achieved</v>
      </c>
      <c r="G44" s="97"/>
      <c r="H44" s="126" t="str">
        <f>'1. All Data'!R44</f>
        <v>Fully Achieved</v>
      </c>
      <c r="I44" s="97"/>
      <c r="J44" s="126" t="str">
        <f>'1. All Data'!V44</f>
        <v>Fully Achieved</v>
      </c>
    </row>
    <row r="45" spans="1:10" ht="99.75" customHeight="1">
      <c r="A45" s="95" t="str">
        <f>'1. All Data'!B45</f>
        <v>LDR05</v>
      </c>
      <c r="B45" s="127" t="str">
        <f>'1. All Data'!C45</f>
        <v>Further Digital Enhancements</v>
      </c>
      <c r="C45" s="128" t="str">
        <f>'1. All Data'!D45</f>
        <v>Elected Member Intranet Implemented</v>
      </c>
      <c r="D45" s="124" t="str">
        <f>'1. All Data'!H45</f>
        <v>Fully Achieved</v>
      </c>
      <c r="E45" s="97"/>
      <c r="F45" s="125" t="str">
        <f>'1. All Data'!M45</f>
        <v>Fully Achieved</v>
      </c>
      <c r="G45" s="97"/>
      <c r="H45" s="126" t="str">
        <f>'1. All Data'!R45</f>
        <v>Fully Achieved</v>
      </c>
      <c r="I45" s="97"/>
      <c r="J45" s="126" t="str">
        <f>'1. All Data'!V45</f>
        <v>Fully Achieved</v>
      </c>
    </row>
    <row r="46" spans="1:10" ht="99.75" customHeight="1">
      <c r="A46" s="95" t="str">
        <f>'1. All Data'!B47</f>
        <v>LDR07</v>
      </c>
      <c r="B46" s="127" t="str">
        <f>'1. All Data'!C47</f>
        <v>Refresh Member Training</v>
      </c>
      <c r="C46" s="128" t="str">
        <f>'1. All Data'!D47</f>
        <v xml:space="preserve">Review Member Induction Programme </v>
      </c>
      <c r="D46" s="124" t="str">
        <f>'1. All Data'!H47</f>
        <v>Not Yet Due</v>
      </c>
      <c r="E46" s="97"/>
      <c r="F46" s="125" t="str">
        <f>'1. All Data'!M47</f>
        <v>On Track to be Achieved</v>
      </c>
      <c r="G46" s="97"/>
      <c r="H46" s="126" t="str">
        <f>'1. All Data'!R47</f>
        <v>Fully Achieved</v>
      </c>
      <c r="I46" s="97"/>
      <c r="J46" s="126" t="str">
        <f>'1. All Data'!V47</f>
        <v>Fully Achieved</v>
      </c>
    </row>
    <row r="47" spans="1:10" ht="99.75" customHeight="1">
      <c r="A47" s="95" t="str">
        <f>'1. All Data'!B48</f>
        <v>FTM06</v>
      </c>
      <c r="B47" s="127" t="str">
        <f>'1. All Data'!C48</f>
        <v>Improving Financial Stewardship</v>
      </c>
      <c r="C47" s="128" t="str">
        <f>'1. All Data'!D48</f>
        <v>Approve the revised Treasury Management Strategy</v>
      </c>
      <c r="D47" s="124" t="str">
        <f>'1. All Data'!H48</f>
        <v>Not Yet Due</v>
      </c>
      <c r="E47" s="97"/>
      <c r="F47" s="125" t="str">
        <f>'1. All Data'!M48</f>
        <v>Not Yet Due</v>
      </c>
      <c r="G47" s="97"/>
      <c r="H47" s="126" t="str">
        <f>'1. All Data'!R48</f>
        <v>On Track to be Achieved</v>
      </c>
      <c r="I47" s="97"/>
      <c r="J47" s="126" t="str">
        <f>'1. All Data'!V48</f>
        <v>Fully Achieved</v>
      </c>
    </row>
    <row r="48" spans="1:10" ht="99.75" customHeight="1">
      <c r="A48" s="95" t="str">
        <f>'1. All Data'!B49</f>
        <v>ID01</v>
      </c>
      <c r="B48" s="127" t="str">
        <f>'1. All Data'!C49</f>
        <v>Improve local democracy and consultation</v>
      </c>
      <c r="C48" s="128" t="str">
        <f>'1. All Data'!D49</f>
        <v>Hold regular engagement events with businesses throughout the year</v>
      </c>
      <c r="D48" s="124" t="str">
        <f>'1. All Data'!H49</f>
        <v>On Track to be Achieved</v>
      </c>
      <c r="E48" s="97"/>
      <c r="F48" s="125" t="str">
        <f>'1. All Data'!M49</f>
        <v>On Track to be Achieved</v>
      </c>
      <c r="G48" s="97"/>
      <c r="H48" s="126" t="str">
        <f>'1. All Data'!R49</f>
        <v>On Track to be Achieved</v>
      </c>
      <c r="I48" s="97"/>
      <c r="J48" s="126" t="str">
        <f>'1. All Data'!V49</f>
        <v>Fully Achieved</v>
      </c>
    </row>
    <row r="49" spans="1:47" ht="99.75" customHeight="1">
      <c r="A49" s="95" t="str">
        <f>'1. All Data'!B50</f>
        <v>PB08</v>
      </c>
      <c r="B49" s="127" t="str">
        <f>'1. All Data'!C50</f>
        <v>Standing up for communities</v>
      </c>
      <c r="C49" s="128" t="str">
        <f>'1. All Data'!D50</f>
        <v>Reshape the UK shared prosperity funding to focus more strongly on community needs</v>
      </c>
      <c r="D49" s="124" t="str">
        <f>'1. All Data'!H50</f>
        <v>On Track to be Achieved</v>
      </c>
      <c r="E49" s="97"/>
      <c r="F49" s="125" t="str">
        <f>'1. All Data'!M50</f>
        <v>Fully Achieved</v>
      </c>
      <c r="G49" s="97"/>
      <c r="H49" s="126" t="str">
        <f>'1. All Data'!R50</f>
        <v>Fully Achieved</v>
      </c>
      <c r="I49" s="97"/>
      <c r="J49" s="126" t="str">
        <f>'1. All Data'!V50</f>
        <v>Fully Achieved</v>
      </c>
    </row>
    <row r="50" spans="1:47" ht="99.75" customHeight="1">
      <c r="A50" s="95" t="str">
        <f>'1. All Data'!B51</f>
        <v>PB09</v>
      </c>
      <c r="B50" s="127" t="str">
        <f>'1. All Data'!C51</f>
        <v>Standing up for communities</v>
      </c>
      <c r="C50" s="128" t="str">
        <f>'1. All Data'!D51</f>
        <v>Approve the detail of UKSPF funding programmes</v>
      </c>
      <c r="D50" s="124" t="str">
        <f>'1. All Data'!H51</f>
        <v>Not Yet Due</v>
      </c>
      <c r="E50" s="97"/>
      <c r="F50" s="125" t="str">
        <f>'1. All Data'!M51</f>
        <v>Fully Achieved</v>
      </c>
      <c r="G50" s="105"/>
      <c r="H50" s="126" t="str">
        <f>'1. All Data'!R51</f>
        <v>Fully Achieved</v>
      </c>
      <c r="I50" s="105"/>
      <c r="J50" s="126" t="str">
        <f>'1. All Data'!V51</f>
        <v>Fully Achieved</v>
      </c>
    </row>
    <row r="51" spans="1:47" ht="99.75" customHeight="1">
      <c r="A51" s="95" t="str">
        <f>'1. All Data'!B52</f>
        <v>PH02</v>
      </c>
      <c r="B51" s="127" t="str">
        <f>'1. All Data'!C52</f>
        <v>Protecting our Heritage</v>
      </c>
      <c r="C51" s="128" t="str">
        <f>'1. All Data'!D52</f>
        <v>With the National Brewery Trust, create a timeline and plan to ensure historical archives from the closed NBC are re-housed in the future development</v>
      </c>
      <c r="D51" s="124" t="str">
        <f>'1. All Data'!H52</f>
        <v>On Track to be Achieved</v>
      </c>
      <c r="E51" s="96"/>
      <c r="F51" s="125" t="str">
        <f>'1. All Data'!M52</f>
        <v>Fully Achieved</v>
      </c>
      <c r="G51" s="97"/>
      <c r="H51" s="126" t="str">
        <f>'1. All Data'!R52</f>
        <v>Fully Achieved</v>
      </c>
      <c r="I51" s="97"/>
      <c r="J51" s="126" t="str">
        <f>'1. All Data'!V52</f>
        <v>Fully Achieved</v>
      </c>
    </row>
    <row r="52" spans="1:47" ht="99.75" customHeight="1">
      <c r="A52" s="95" t="str">
        <f>'1. All Data'!B53</f>
        <v>PH03</v>
      </c>
      <c r="B52" s="127" t="str">
        <f>'1. All Data'!C53</f>
        <v>Protecting our Heritage</v>
      </c>
      <c r="C52" s="128" t="str">
        <f>'1. All Data'!D53</f>
        <v>With the National Brewery Trust, contact owners of all former NBC artefacts to discuss their return to the future development</v>
      </c>
      <c r="D52" s="124" t="str">
        <f>'1. All Data'!H53</f>
        <v>On Track to be Achieved</v>
      </c>
      <c r="E52" s="96"/>
      <c r="F52" s="125" t="str">
        <f>'1. All Data'!M53</f>
        <v>Fully Achieved</v>
      </c>
      <c r="G52" s="97"/>
      <c r="H52" s="126" t="str">
        <f>'1. All Data'!R53</f>
        <v>Fully Achieved</v>
      </c>
      <c r="I52" s="97"/>
      <c r="J52" s="126" t="str">
        <f>'1. All Data'!V53</f>
        <v>Fully Achieved</v>
      </c>
    </row>
    <row r="53" spans="1:47" ht="99.75" customHeight="1">
      <c r="A53" s="95" t="str">
        <f>'1. All Data'!B56</f>
        <v>RAD02</v>
      </c>
      <c r="B53" s="127" t="str">
        <f>'1. All Data'!C56</f>
        <v>Deliver the Burton upon Trent High Street Regeneration Project</v>
      </c>
      <c r="C53" s="128" t="str">
        <f>'1. All Data'!D56</f>
        <v xml:space="preserve">Continue to work in partnership with the Heritage Working Group and other stakeholders to develop the museum and heritage centre proposals for the High Street </v>
      </c>
      <c r="D53" s="124" t="str">
        <f>'1. All Data'!H56</f>
        <v>Not Yet Due</v>
      </c>
      <c r="E53" s="97"/>
      <c r="F53" s="125" t="str">
        <f>'1. All Data'!M56</f>
        <v>Not Yet Due</v>
      </c>
      <c r="G53" s="97"/>
      <c r="H53" s="126" t="str">
        <f>'1. All Data'!R56</f>
        <v>On Track to be Achieved</v>
      </c>
      <c r="I53" s="97"/>
      <c r="J53" s="126" t="str">
        <f>'1. All Data'!V56</f>
        <v>Fully Achieved</v>
      </c>
    </row>
    <row r="54" spans="1:47" ht="87.75">
      <c r="A54" s="95" t="str">
        <f>'1. All Data'!B57</f>
        <v>RAD03</v>
      </c>
      <c r="B54" s="127" t="str">
        <f>'1. All Data'!C57</f>
        <v>Deliver the Burton upon Trent High Street Regeneration Project</v>
      </c>
      <c r="C54" s="128" t="str">
        <f>'1. All Data'!D57</f>
        <v xml:space="preserve">Work with partners to support the delivery of the three partner Towns Fund projects </v>
      </c>
      <c r="D54" s="124" t="str">
        <f>'1. All Data'!H57</f>
        <v>Not Yet Due</v>
      </c>
      <c r="E54" s="96"/>
      <c r="F54" s="125" t="str">
        <f>'1. All Data'!M57</f>
        <v>On Track to be Achieved</v>
      </c>
      <c r="G54" s="105"/>
      <c r="H54" s="126" t="str">
        <f>'1. All Data'!R57</f>
        <v>On Track to be Achieved</v>
      </c>
      <c r="I54" s="97"/>
      <c r="J54" s="126" t="str">
        <f>'1. All Data'!V57</f>
        <v>Fully Achieved</v>
      </c>
    </row>
    <row r="55" spans="1:47" ht="99.75" customHeight="1">
      <c r="A55" s="95" t="str">
        <f>'1. All Data'!B58</f>
        <v>RAD04</v>
      </c>
      <c r="B55" s="127" t="str">
        <f>'1. All Data'!C58</f>
        <v>Improve the Washlands as a regional attraction</v>
      </c>
      <c r="C55" s="128" t="str">
        <f>'1. All Data'!D58</f>
        <v>Appoint contractors to deliver Washlands Enhancement Project</v>
      </c>
      <c r="D55" s="124" t="str">
        <f>'1. All Data'!H58</f>
        <v>On Track to be Achieved</v>
      </c>
      <c r="E55" s="97"/>
      <c r="F55" s="125" t="str">
        <f>'1. All Data'!M58</f>
        <v>Fully Achieved</v>
      </c>
      <c r="G55" s="97"/>
      <c r="H55" s="126" t="str">
        <f>'1. All Data'!R58</f>
        <v>Fully Achieved</v>
      </c>
      <c r="I55" s="97"/>
      <c r="J55" s="126" t="str">
        <f>'1. All Data'!V58</f>
        <v>Fully Achieved</v>
      </c>
    </row>
    <row r="56" spans="1:47" ht="99.75" customHeight="1">
      <c r="A56" s="95" t="str">
        <f>'1. All Data'!B59</f>
        <v>RAD05</v>
      </c>
      <c r="B56" s="127" t="str">
        <f>'1. All Data'!C59</f>
        <v>Improve the Washlands as a regional attraction</v>
      </c>
      <c r="C56" s="128" t="str">
        <f>'1. All Data'!D59</f>
        <v xml:space="preserve">Submit planning application for a Washlands Visitor Centre </v>
      </c>
      <c r="D56" s="124" t="str">
        <f>'1. All Data'!H59</f>
        <v>In Danger of Falling Behind Target</v>
      </c>
      <c r="E56" s="97"/>
      <c r="F56" s="125" t="str">
        <f>'1. All Data'!M59</f>
        <v>Off Target</v>
      </c>
      <c r="G56" s="97"/>
      <c r="H56" s="126" t="str">
        <f>'1. All Data'!R59</f>
        <v>Off Target</v>
      </c>
      <c r="I56" s="97"/>
      <c r="J56" s="126" t="str">
        <f>'1. All Data'!V59</f>
        <v>Off Target</v>
      </c>
      <c r="AU56" s="98"/>
    </row>
    <row r="57" spans="1:47" s="111" customFormat="1" ht="87.75">
      <c r="A57" s="95" t="str">
        <f>'1. All Data'!B60</f>
        <v>RAD06</v>
      </c>
      <c r="B57" s="127" t="str">
        <f>'1. All Data'!C60</f>
        <v>Improve the Washlands as a regional attraction</v>
      </c>
      <c r="C57" s="128" t="str">
        <f>'1. All Data'!D60</f>
        <v xml:space="preserve">Commence the construction of the Washlands Visitor Centre (subject to planning) </v>
      </c>
      <c r="D57" s="124" t="str">
        <f>'1. All Data'!H60</f>
        <v>In Danger of Falling Behind Target</v>
      </c>
      <c r="E57" s="96"/>
      <c r="F57" s="125" t="str">
        <f>'1. All Data'!M60</f>
        <v>Deleted</v>
      </c>
      <c r="G57" s="97"/>
      <c r="H57" s="126" t="str">
        <f>'1. All Data'!R60</f>
        <v>Deleted</v>
      </c>
      <c r="I57" s="97"/>
      <c r="J57" s="126" t="str">
        <f>'1. All Data'!V60</f>
        <v>Deleted</v>
      </c>
      <c r="K57" s="106"/>
      <c r="L57" s="106"/>
      <c r="M57" s="106"/>
      <c r="N57" s="107"/>
      <c r="O57" s="107"/>
      <c r="P57" s="107"/>
      <c r="Q57" s="107"/>
      <c r="R57" s="107"/>
      <c r="S57" s="106"/>
      <c r="T57" s="106"/>
      <c r="U57" s="106"/>
      <c r="V57" s="106"/>
      <c r="W57" s="106"/>
      <c r="X57" s="108"/>
      <c r="Y57" s="108"/>
      <c r="Z57" s="108"/>
      <c r="AA57" s="108"/>
      <c r="AB57" s="109"/>
      <c r="AC57" s="94"/>
      <c r="AD57" s="110"/>
      <c r="AE57" s="110"/>
      <c r="AF57" s="110"/>
      <c r="AG57" s="110"/>
      <c r="AH57" s="110"/>
      <c r="AI57" s="110"/>
      <c r="AJ57" s="110"/>
      <c r="AK57" s="110"/>
      <c r="AL57" s="110"/>
      <c r="AM57" s="110"/>
      <c r="AN57" s="110"/>
      <c r="AO57" s="110"/>
      <c r="AP57" s="110"/>
      <c r="AQ57" s="110"/>
      <c r="AR57" s="110"/>
      <c r="AS57" s="110"/>
      <c r="AT57" s="110"/>
      <c r="AU57" s="110"/>
    </row>
    <row r="58" spans="1:47" ht="99.75" customHeight="1">
      <c r="A58" s="95" t="str">
        <f>'1. All Data'!B63</f>
        <v>RAD09</v>
      </c>
      <c r="B58" s="127" t="str">
        <f>'1. All Data'!C63</f>
        <v>Take forward regeneration in Uttoxeter</v>
      </c>
      <c r="C58" s="128" t="str">
        <f>'1. All Data'!D63</f>
        <v>Agree purchase of Uttoxeter former Co-op building</v>
      </c>
      <c r="D58" s="124" t="str">
        <f>'1. All Data'!H63</f>
        <v>On Track to be Achieved</v>
      </c>
      <c r="E58" s="97"/>
      <c r="F58" s="125" t="str">
        <f>'1. All Data'!M63</f>
        <v>Fully Achieved</v>
      </c>
      <c r="G58" s="97"/>
      <c r="H58" s="126" t="str">
        <f>'1. All Data'!R63</f>
        <v>Fully Achieved</v>
      </c>
      <c r="I58" s="97"/>
      <c r="J58" s="126" t="str">
        <f>'1. All Data'!V63</f>
        <v>Fully Achieved</v>
      </c>
    </row>
    <row r="59" spans="1:47" ht="99.75" customHeight="1">
      <c r="A59" s="95" t="str">
        <f>'1. All Data'!B64</f>
        <v>RAD10</v>
      </c>
      <c r="B59" s="127" t="str">
        <f>'1. All Data'!C64</f>
        <v>Take forward regeneration in Uttoxeter</v>
      </c>
      <c r="C59" s="128" t="str">
        <f>'1. All Data'!D64</f>
        <v>Consider the best approach to acquiring the remainder of the Maltings precinct and review proposals to regenerate the Maltings area</v>
      </c>
      <c r="D59" s="124" t="str">
        <f>'1. All Data'!H64</f>
        <v>Not Yet Due</v>
      </c>
      <c r="E59" s="96"/>
      <c r="F59" s="125" t="str">
        <f>'1. All Data'!M64</f>
        <v>Fully Achieved</v>
      </c>
      <c r="G59" s="97"/>
      <c r="H59" s="126" t="str">
        <f>'1. All Data'!R64</f>
        <v>Fully Achieved</v>
      </c>
      <c r="I59" s="97"/>
      <c r="J59" s="126" t="str">
        <f>'1. All Data'!V64</f>
        <v>Fully Achieved</v>
      </c>
    </row>
    <row r="60" spans="1:47" ht="99.75" customHeight="1">
      <c r="A60" s="95" t="str">
        <f>'1. All Data'!B65</f>
        <v>RAD11</v>
      </c>
      <c r="B60" s="127" t="str">
        <f>'1. All Data'!C65</f>
        <v>Support economic growth in East Staffordshire</v>
      </c>
      <c r="C60" s="128" t="str">
        <f>'1. All Data'!D65</f>
        <v>Launch and administer a business grant programme</v>
      </c>
      <c r="D60" s="124" t="str">
        <f>'1. All Data'!H65</f>
        <v>On Track to be Achieved</v>
      </c>
      <c r="E60" s="97"/>
      <c r="F60" s="125" t="str">
        <f>'1. All Data'!M65</f>
        <v>On Track to be Achieved</v>
      </c>
      <c r="G60" s="112"/>
      <c r="H60" s="126" t="str">
        <f>'1. All Data'!R65</f>
        <v>On Track to be Achieved</v>
      </c>
      <c r="I60" s="112"/>
      <c r="J60" s="126" t="str">
        <f>'1. All Data'!V65</f>
        <v>Fully Achieved</v>
      </c>
    </row>
    <row r="61" spans="1:47" s="116" customFormat="1" ht="69.75" customHeight="1">
      <c r="A61" s="95" t="str">
        <f>'1. All Data'!B69</f>
        <v>GD02</v>
      </c>
      <c r="B61" s="127" t="str">
        <f>'1. All Data'!C69</f>
        <v>Tackling Envirocrime</v>
      </c>
      <c r="C61" s="128" t="str">
        <f>'1. All Data'!D69</f>
        <v>Increase levels of action taken against anti-social behaviour by reviewing the performance of mobile CCTV provision and seeking to achieve a 20% increase in the number of deployments (from 22)</v>
      </c>
      <c r="D61" s="124" t="str">
        <f>'1. All Data'!H69</f>
        <v>On Track to be Achieved</v>
      </c>
      <c r="E61" s="96"/>
      <c r="F61" s="125" t="str">
        <f>'1. All Data'!M69</f>
        <v>On Track to be Achieved</v>
      </c>
      <c r="G61" s="114"/>
      <c r="H61" s="126" t="str">
        <f>'1. All Data'!R69</f>
        <v>On Track to be Achieved</v>
      </c>
      <c r="I61" s="114"/>
      <c r="J61" s="126" t="str">
        <f>'1. All Data'!V69</f>
        <v>Fully Achieved</v>
      </c>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row>
    <row r="62" spans="1:47" ht="99.75" customHeight="1">
      <c r="A62" s="95" t="str">
        <f>'1. All Data'!B70</f>
        <v>GD03</v>
      </c>
      <c r="B62" s="127" t="str">
        <f>'1. All Data'!C70</f>
        <v>Tackling Envirocrime</v>
      </c>
      <c r="C62" s="128" t="str">
        <f>'1. All Data'!D70</f>
        <v>Increase levels of action taken against anti-social behaviour through undertaking 4 initiatives to address fly tipping under the 'Tackle the Tippers' campaign</v>
      </c>
      <c r="D62" s="124" t="str">
        <f>'1. All Data'!H70</f>
        <v>On Track to be Achieved</v>
      </c>
      <c r="E62" s="97"/>
      <c r="F62" s="125" t="str">
        <f>'1. All Data'!M70</f>
        <v>On Track to be Achieved</v>
      </c>
      <c r="G62" s="97"/>
      <c r="H62" s="126" t="str">
        <f>'1. All Data'!R70</f>
        <v>On Track to be Achieved</v>
      </c>
      <c r="I62" s="97"/>
      <c r="J62" s="126" t="str">
        <f>'1. All Data'!V70</f>
        <v>Fully Achieved</v>
      </c>
    </row>
    <row r="63" spans="1:47" ht="99.75" customHeight="1">
      <c r="A63" s="95" t="str">
        <f>'1. All Data'!B71</f>
        <v>SC04</v>
      </c>
      <c r="B63" s="127" t="str">
        <f>'1. All Data'!C71</f>
        <v>Backing our Taxi Drivers</v>
      </c>
      <c r="C63" s="128" t="str">
        <f>'1. All Data'!D71</f>
        <v>Review Licensing policy with the trade and ensure drivers are supported in the transition to Euro 6 emission standards</v>
      </c>
      <c r="D63" s="124" t="str">
        <f>'1. All Data'!H71</f>
        <v>On Track to be Achieved</v>
      </c>
      <c r="E63" s="97"/>
      <c r="F63" s="125" t="str">
        <f>'1. All Data'!M71</f>
        <v>On Track to be Achieved</v>
      </c>
      <c r="G63" s="97"/>
      <c r="H63" s="126" t="str">
        <f>'1. All Data'!R71</f>
        <v>Fully Achieved</v>
      </c>
      <c r="I63" s="97"/>
      <c r="J63" s="126" t="str">
        <f>'1. All Data'!V71</f>
        <v>Fully Achieved</v>
      </c>
    </row>
    <row r="64" spans="1:47" ht="99.75" customHeight="1">
      <c r="A64" s="95" t="str">
        <f>'1. All Data'!B72</f>
        <v>CRS01</v>
      </c>
      <c r="B64" s="127" t="str">
        <f>'1. All Data'!C72</f>
        <v>Licensing and Enforcement Activities-CCTV</v>
      </c>
      <c r="C64" s="128" t="str">
        <f>'1. All Data'!D72</f>
        <v>Complete roll out/ installation of fixed CCTV cameras</v>
      </c>
      <c r="D64" s="124" t="str">
        <f>'1. All Data'!H72</f>
        <v>In Danger of Falling Behind Target</v>
      </c>
      <c r="E64" s="97"/>
      <c r="F64" s="125" t="str">
        <f>'1. All Data'!M72</f>
        <v>Off Target</v>
      </c>
      <c r="G64" s="97"/>
      <c r="H64" s="126" t="str">
        <f>'1. All Data'!R72</f>
        <v>Off Target</v>
      </c>
      <c r="I64" s="97"/>
      <c r="J64" s="126" t="str">
        <f>'1. All Data'!V72</f>
        <v>Off Target</v>
      </c>
    </row>
    <row r="65" spans="1:10" ht="99.75" customHeight="1">
      <c r="A65" s="95" t="str">
        <f>'1. All Data'!B73</f>
        <v>PB06a</v>
      </c>
      <c r="B65" s="127" t="str">
        <f>'1. All Data'!C73</f>
        <v>Building a Fairer Local Economy</v>
      </c>
      <c r="C65" s="128" t="str">
        <f>'1. All Data'!D73</f>
        <v>Produce a route map to insourcing council services that are currently outsourced</v>
      </c>
      <c r="D65" s="124" t="str">
        <f>'1. All Data'!H73</f>
        <v>Not Yet Due</v>
      </c>
      <c r="E65" s="97"/>
      <c r="F65" s="125" t="str">
        <f>'1. All Data'!M73</f>
        <v>On Track to be Achieved</v>
      </c>
      <c r="G65" s="97"/>
      <c r="H65" s="126" t="str">
        <f>'1. All Data'!R73</f>
        <v>Fully Achieved</v>
      </c>
      <c r="I65" s="97"/>
      <c r="J65" s="126" t="str">
        <f>'1. All Data'!V73</f>
        <v>Fully Achieved</v>
      </c>
    </row>
    <row r="66" spans="1:10" ht="99.75" customHeight="1">
      <c r="A66" s="95" t="str">
        <f>'1. All Data'!B74</f>
        <v>GD08</v>
      </c>
      <c r="B66" s="127" t="str">
        <f>'1. All Data'!C74</f>
        <v>A Green New Deal for East Staffordshire</v>
      </c>
      <c r="C66" s="128" t="str">
        <f>'1. All Data'!D74</f>
        <v>Find opportunities to use vertical and rooftop spaces to plant new gardens</v>
      </c>
      <c r="D66" s="124" t="str">
        <f>'1. All Data'!H74</f>
        <v>Not Yet Due</v>
      </c>
      <c r="E66" s="97"/>
      <c r="F66" s="125" t="str">
        <f>'1. All Data'!M74</f>
        <v>On Track to be Achieved</v>
      </c>
      <c r="G66" s="97"/>
      <c r="H66" s="126" t="str">
        <f>'1. All Data'!R74</f>
        <v>Fully Achieved</v>
      </c>
      <c r="I66" s="97"/>
      <c r="J66" s="126" t="str">
        <f>'1. All Data'!V74</f>
        <v>Fully Achieved</v>
      </c>
    </row>
    <row r="67" spans="1:10" ht="99.75" customHeight="1">
      <c r="A67" s="95" t="str">
        <f>'1. All Data'!B75</f>
        <v>GD09</v>
      </c>
      <c r="B67" s="127" t="str">
        <f>'1. All Data'!C75</f>
        <v>A Green New Deal for East Staffordshire</v>
      </c>
      <c r="C67" s="128" t="str">
        <f>'1. All Data'!D75</f>
        <v>Find opportunities and create a network of community orchards and wildlife corridors</v>
      </c>
      <c r="D67" s="124" t="str">
        <f>'1. All Data'!H75</f>
        <v>Not Yet Due</v>
      </c>
      <c r="E67" s="97"/>
      <c r="F67" s="125" t="str">
        <f>'1. All Data'!M75</f>
        <v>On Track to be Achieved</v>
      </c>
      <c r="G67" s="97"/>
      <c r="H67" s="126" t="str">
        <f>'1. All Data'!R75</f>
        <v>Fully Achieved</v>
      </c>
      <c r="I67" s="97"/>
      <c r="J67" s="126" t="str">
        <f>'1. All Data'!V75</f>
        <v>Fully Achieved</v>
      </c>
    </row>
    <row r="68" spans="1:10" ht="99.75" customHeight="1">
      <c r="A68" s="95" t="str">
        <f>'1. All Data'!B76</f>
        <v>PH01</v>
      </c>
      <c r="B68" s="127" t="str">
        <f>'1. All Data'!C76</f>
        <v>Protecting our Heritage</v>
      </c>
      <c r="C68" s="128" t="str">
        <f>'1. All Data'!D76</f>
        <v>Consider creating a model of co-operative ownership of Burton Market Hall, with six monthly reporting</v>
      </c>
      <c r="D68" s="124" t="str">
        <f>'1. All Data'!H76</f>
        <v>Not Yet Due</v>
      </c>
      <c r="E68" s="97"/>
      <c r="F68" s="125" t="str">
        <f>'1. All Data'!M76</f>
        <v>Deleted</v>
      </c>
      <c r="G68" s="97"/>
      <c r="H68" s="126" t="str">
        <f>'1. All Data'!R76</f>
        <v>Deleted</v>
      </c>
      <c r="I68" s="97"/>
      <c r="J68" s="126" t="str">
        <f>'1. All Data'!V76</f>
        <v>Deleted</v>
      </c>
    </row>
    <row r="69" spans="1:10" ht="99.75" customHeight="1">
      <c r="A69" s="95" t="str">
        <f>'1. All Data'!B77</f>
        <v>CRS03</v>
      </c>
      <c r="B69" s="127" t="str">
        <f>'1. All Data'!C77</f>
        <v>Supporting local communities</v>
      </c>
      <c r="C69" s="128" t="str">
        <f>'1. All Data'!D77</f>
        <v>Commence a Community Lottery providing funding opportunities for the local community and voluntary sector</v>
      </c>
      <c r="D69" s="124" t="str">
        <f>'1. All Data'!H77</f>
        <v>Fully Achieved</v>
      </c>
      <c r="E69" s="97"/>
      <c r="F69" s="125" t="str">
        <f>'1. All Data'!M77</f>
        <v>Fully Achieved</v>
      </c>
      <c r="G69" s="105"/>
      <c r="H69" s="126" t="str">
        <f>'1. All Data'!R77</f>
        <v>Fully Achieved</v>
      </c>
      <c r="I69" s="105"/>
      <c r="J69" s="126" t="str">
        <f>'1. All Data'!V77</f>
        <v>Fully Achieved</v>
      </c>
    </row>
    <row r="70" spans="1:10" ht="99.75" customHeight="1">
      <c r="A70" s="95" t="str">
        <f>'1. All Data'!B78</f>
        <v>CRS04</v>
      </c>
      <c r="B70" s="127" t="str">
        <f>'1. All Data'!C78</f>
        <v>Supporting local communities</v>
      </c>
      <c r="C70" s="128" t="str">
        <f>'1. All Data'!D78</f>
        <v>Deliver a community grant scheme to help enhance local areas</v>
      </c>
      <c r="D70" s="124" t="str">
        <f>'1. All Data'!H78</f>
        <v>On Track to be Achieved</v>
      </c>
      <c r="E70" s="97"/>
      <c r="F70" s="125" t="str">
        <f>'1. All Data'!M78</f>
        <v>Fully Achieved</v>
      </c>
      <c r="G70" s="105"/>
      <c r="H70" s="126" t="str">
        <f>'1. All Data'!R78</f>
        <v>Fully Achieved</v>
      </c>
      <c r="I70" s="105"/>
      <c r="J70" s="126" t="str">
        <f>'1. All Data'!V78</f>
        <v>Fully Achieved</v>
      </c>
    </row>
    <row r="71" spans="1:10" ht="99.75" customHeight="1">
      <c r="A71" s="95" t="str">
        <f>'1. All Data'!B79</f>
        <v>CRS05</v>
      </c>
      <c r="B71" s="127" t="str">
        <f>'1. All Data'!C79</f>
        <v>Supporting local communities</v>
      </c>
      <c r="C71" s="128" t="str">
        <f>'1. All Data'!D79</f>
        <v>Relaunch the Councillors Community Fund</v>
      </c>
      <c r="D71" s="124" t="str">
        <f>'1. All Data'!H79</f>
        <v>Fully Achieved</v>
      </c>
      <c r="E71" s="97"/>
      <c r="F71" s="125" t="str">
        <f>'1. All Data'!M79</f>
        <v>Fully Achieved</v>
      </c>
      <c r="G71" s="105"/>
      <c r="H71" s="126" t="str">
        <f>'1. All Data'!R79</f>
        <v>Fully Achieved</v>
      </c>
      <c r="I71" s="105"/>
      <c r="J71" s="126" t="str">
        <f>'1. All Data'!V79</f>
        <v>Fully Achieved</v>
      </c>
    </row>
    <row r="72" spans="1:10" ht="99.75" customHeight="1">
      <c r="A72" s="95" t="str">
        <f>'1. All Data'!B80</f>
        <v>ECC04</v>
      </c>
      <c r="B72" s="127" t="str">
        <f>'1. All Data'!C80</f>
        <v>Climate Change Initiatives</v>
      </c>
      <c r="C72" s="128" t="str">
        <f>'1. All Data'!D80</f>
        <v>Work in partnership with external organisations to develop 4 Carbon Capture and Biodiversity areas across the Borough</v>
      </c>
      <c r="D72" s="124" t="str">
        <f>'1. All Data'!H80</f>
        <v>Not Yet Due</v>
      </c>
      <c r="E72" s="96"/>
      <c r="F72" s="125" t="str">
        <f>'1. All Data'!M80</f>
        <v>On Track to be Achieved</v>
      </c>
      <c r="G72" s="97"/>
      <c r="H72" s="126" t="str">
        <f>'1. All Data'!R80</f>
        <v>Fully Achieved</v>
      </c>
      <c r="I72" s="97"/>
      <c r="J72" s="126" t="str">
        <f>'1. All Data'!V80</f>
        <v>Fully Achieved</v>
      </c>
    </row>
    <row r="73" spans="1:10" ht="99.75" customHeight="1">
      <c r="A73" s="95" t="str">
        <f>'1. All Data'!B81</f>
        <v>ECC06</v>
      </c>
      <c r="B73" s="127" t="str">
        <f>'1. All Data'!C81</f>
        <v>Climate Change Initiatives</v>
      </c>
      <c r="C73" s="128" t="str">
        <f>'1. All Data'!D81</f>
        <v>Deliver Borough wide entries for the ‘It’s Your Neighbourhood Park’ awards and maintain the results at 12 Gold Awards and 10 Silver Gilts</v>
      </c>
      <c r="D73" s="124" t="str">
        <f>'1. All Data'!H81</f>
        <v>Not Yet Due</v>
      </c>
      <c r="E73" s="97"/>
      <c r="F73" s="125" t="str">
        <f>'1. All Data'!M81</f>
        <v>Fully Achieved</v>
      </c>
      <c r="G73" s="97"/>
      <c r="H73" s="126" t="str">
        <f>'1. All Data'!R81</f>
        <v>Fully Achieved</v>
      </c>
      <c r="I73" s="97"/>
      <c r="J73" s="126" t="str">
        <f>'1. All Data'!V81</f>
        <v>Fully Achieved</v>
      </c>
    </row>
    <row r="74" spans="1:10" ht="99.75" customHeight="1">
      <c r="A74" s="95" t="str">
        <f>'1. All Data'!B83</f>
        <v>ECC08</v>
      </c>
      <c r="B74" s="127" t="str">
        <f>'1. All Data'!C83</f>
        <v>Climate Change Initiatives</v>
      </c>
      <c r="C74" s="128" t="str">
        <f>'1. All Data'!D83</f>
        <v>Deliver the In Bloom awards and sustain the number of Gold awards at a minimum of 3, across all categories</v>
      </c>
      <c r="D74" s="124" t="str">
        <f>'1. All Data'!H83</f>
        <v>Not Yet Due</v>
      </c>
      <c r="E74" s="97"/>
      <c r="F74" s="125" t="str">
        <f>'1. All Data'!M83</f>
        <v>Fully Achieved</v>
      </c>
      <c r="G74" s="105"/>
      <c r="H74" s="126" t="str">
        <f>'1. All Data'!R83</f>
        <v>Fully Achieved</v>
      </c>
      <c r="I74" s="97"/>
      <c r="J74" s="126" t="str">
        <f>'1. All Data'!V83</f>
        <v>Fully Achieved</v>
      </c>
    </row>
    <row r="75" spans="1:10" ht="99.75" customHeight="1">
      <c r="A75" s="95" t="str">
        <f>'1. All Data'!B86</f>
        <v>ECC11</v>
      </c>
      <c r="B75" s="127" t="str">
        <f>'1. All Data'!C86</f>
        <v>Open Spaces initiatives</v>
      </c>
      <c r="C75" s="128" t="str">
        <f>'1. All Data'!D86</f>
        <v>Increase the number of volunteering opportunities from 3 to 6 per week at both the Horticulture Centre and/or Go Garden</v>
      </c>
      <c r="D75" s="124" t="str">
        <f>'1. All Data'!H86</f>
        <v>On Track to be Achieved</v>
      </c>
      <c r="E75" s="97"/>
      <c r="F75" s="125" t="str">
        <f>'1. All Data'!M86</f>
        <v>On Track to be Achieved</v>
      </c>
      <c r="G75" s="97"/>
      <c r="H75" s="126" t="str">
        <f>'1. All Data'!R86</f>
        <v>Fully Achieved</v>
      </c>
      <c r="I75" s="97"/>
      <c r="J75" s="126" t="str">
        <f>'1. All Data'!V86</f>
        <v>Fully Achieved</v>
      </c>
    </row>
    <row r="76" spans="1:10" ht="99.75" customHeight="1">
      <c r="A76" s="95" t="str">
        <f>'1. All Data'!B89</f>
        <v>TCD01</v>
      </c>
      <c r="B76" s="127" t="str">
        <f>'1. All Data'!C89</f>
        <v>Market Hall Development</v>
      </c>
      <c r="C76" s="128" t="str">
        <f>'1. All Data'!D89</f>
        <v>Consider the outcome of an independent HM Treasury Green Book compliant business case assessment on future options for the Market Hall</v>
      </c>
      <c r="D76" s="124" t="str">
        <f>'1. All Data'!H89</f>
        <v>On Track to be Achieved</v>
      </c>
      <c r="E76" s="97"/>
      <c r="F76" s="125" t="str">
        <f>'1. All Data'!M89</f>
        <v>Fully Achieved</v>
      </c>
      <c r="G76" s="97"/>
      <c r="H76" s="126" t="str">
        <f>'1. All Data'!R89</f>
        <v>Fully Achieved</v>
      </c>
      <c r="I76" s="97"/>
      <c r="J76" s="126" t="str">
        <f>'1. All Data'!V89</f>
        <v>Fully Achieved</v>
      </c>
    </row>
    <row r="77" spans="1:10" ht="162">
      <c r="A77" s="95" t="str">
        <f>'1. All Data'!B90</f>
        <v>PB07</v>
      </c>
      <c r="B77" s="127" t="str">
        <f>'1. All Data'!C90</f>
        <v>Housing and Planning</v>
      </c>
      <c r="C77" s="128" t="str">
        <f>'1. All Data'!D90</f>
        <v>Review and consider improvements for making Section 106 funding process more open and transparent, via the ESBC website and Member Intranet; and consider policy changes to ESBC's s106 approach</v>
      </c>
      <c r="D77" s="124" t="str">
        <f>'1. All Data'!H90</f>
        <v>On Track to be Achieved</v>
      </c>
      <c r="E77" s="96"/>
      <c r="F77" s="125" t="str">
        <f>'1. All Data'!M90</f>
        <v>On Track to be Achieved</v>
      </c>
      <c r="G77" s="97"/>
      <c r="H77" s="126" t="str">
        <f>'1. All Data'!R90</f>
        <v>Fully Achieved</v>
      </c>
      <c r="I77" s="97"/>
      <c r="J77" s="126" t="str">
        <f>'1. All Data'!V90</f>
        <v>Fully Achieved</v>
      </c>
    </row>
    <row r="78" spans="1:10" ht="99.75" customHeight="1">
      <c r="A78" s="95" t="str">
        <f>'1. All Data'!B93</f>
        <v>RAD18a</v>
      </c>
      <c r="B78" s="127" t="str">
        <f>'1. All Data'!C93</f>
        <v>Keeping Members informed on Planning Matters</v>
      </c>
      <c r="C78" s="128" t="str">
        <f>'1. All Data'!D93</f>
        <v>9 x Planning Committee Member training sessions</v>
      </c>
      <c r="D78" s="124" t="str">
        <f>'1. All Data'!H93</f>
        <v>On Track to be Achieved</v>
      </c>
      <c r="E78" s="96"/>
      <c r="F78" s="125" t="str">
        <f>'1. All Data'!M93</f>
        <v>On Track to be Achieved</v>
      </c>
      <c r="G78" s="104"/>
      <c r="H78" s="126" t="str">
        <f>'1. All Data'!R93</f>
        <v>Fully Achieved</v>
      </c>
      <c r="I78" s="104"/>
      <c r="J78" s="126" t="str">
        <f>'1. All Data'!V93</f>
        <v>Fully Achieved</v>
      </c>
    </row>
    <row r="79" spans="1:10" ht="99.75" customHeight="1">
      <c r="A79" s="95" t="str">
        <f>'1. All Data'!B94</f>
        <v>RAD18b</v>
      </c>
      <c r="B79" s="127" t="str">
        <f>'1. All Data'!C94</f>
        <v>Keeping Members informed on Planning Matters</v>
      </c>
      <c r="C79" s="128" t="str">
        <f>'1. All Data'!D94</f>
        <v>2 x All Member briefing sessions</v>
      </c>
      <c r="D79" s="124" t="str">
        <f>'1. All Data'!H94</f>
        <v>Not Yet Due</v>
      </c>
      <c r="E79" s="96"/>
      <c r="F79" s="125" t="str">
        <f>'1. All Data'!M94</f>
        <v>Not Yet Due</v>
      </c>
      <c r="G79" s="97"/>
      <c r="H79" s="126" t="str">
        <f>'1. All Data'!R94</f>
        <v>On Track to be Achieved</v>
      </c>
      <c r="I79" s="97"/>
      <c r="J79" s="126" t="str">
        <f>'1. All Data'!V94</f>
        <v>Fully Achieved</v>
      </c>
    </row>
    <row r="80" spans="1:10" ht="99.75" customHeight="1">
      <c r="A80" s="95" t="str">
        <f>'1. All Data'!B95</f>
        <v>RAD19</v>
      </c>
      <c r="B80" s="127" t="str">
        <f>'1. All Data'!C95</f>
        <v>Monitor Performance of the Local Plan</v>
      </c>
      <c r="C80" s="128" t="str">
        <f>'1. All Data'!D95</f>
        <v>Complete the annual review of the Local Plan</v>
      </c>
      <c r="D80" s="124" t="str">
        <f>'1. All Data'!H95</f>
        <v>On Track to be Achieved</v>
      </c>
      <c r="E80" s="97"/>
      <c r="F80" s="125" t="str">
        <f>'1. All Data'!M95</f>
        <v>On Track to be Achieved</v>
      </c>
      <c r="G80" s="97"/>
      <c r="H80" s="126" t="str">
        <f>'1. All Data'!R95</f>
        <v>Fully Achieved</v>
      </c>
      <c r="I80" s="97"/>
      <c r="J80" s="126" t="str">
        <f>'1. All Data'!V95</f>
        <v>Fully Achieved</v>
      </c>
    </row>
    <row r="81" spans="1:46" ht="99.75" customHeight="1">
      <c r="A81" s="95" t="str">
        <f>'1. All Data'!B96</f>
        <v>TCD02</v>
      </c>
      <c r="B81" s="127" t="str">
        <f>'1. All Data'!C96</f>
        <v>Developing Tourism within the Borough</v>
      </c>
      <c r="C81" s="128" t="str">
        <f>'1. All Data'!D96</f>
        <v>Launch a grant scheme to support local Tourism businesses to develop projects and activity</v>
      </c>
      <c r="D81" s="124" t="str">
        <f>'1. All Data'!H96</f>
        <v>Fully Achieved</v>
      </c>
      <c r="E81" s="97"/>
      <c r="F81" s="125" t="str">
        <f>'1. All Data'!M96</f>
        <v>Fully Achieved</v>
      </c>
      <c r="G81" s="97"/>
      <c r="H81" s="126" t="str">
        <f>'1. All Data'!R96</f>
        <v>Fully Achieved</v>
      </c>
      <c r="I81" s="97"/>
      <c r="J81" s="126" t="str">
        <f>'1. All Data'!V96</f>
        <v>Fully Achieved</v>
      </c>
    </row>
    <row r="82" spans="1:46" s="111" customFormat="1" ht="87.75">
      <c r="A82" s="95" t="str">
        <f>'1. All Data'!B97</f>
        <v>TCD03</v>
      </c>
      <c r="B82" s="127" t="str">
        <f>'1. All Data'!C97</f>
        <v>Developing Tourism within the Borough</v>
      </c>
      <c r="C82" s="128" t="str">
        <f>'1. All Data'!D97</f>
        <v xml:space="preserve">Develop a Tourism framework and Strategic Plan </v>
      </c>
      <c r="D82" s="124" t="str">
        <f>'1. All Data'!H97</f>
        <v>On Track to be Achieved</v>
      </c>
      <c r="E82" s="96"/>
      <c r="F82" s="125" t="str">
        <f>'1. All Data'!M97</f>
        <v>On Track to be Achieved</v>
      </c>
      <c r="G82" s="97"/>
      <c r="H82" s="126" t="str">
        <f>'1. All Data'!R97</f>
        <v>Fully Achieved</v>
      </c>
      <c r="I82" s="97"/>
      <c r="J82" s="126" t="str">
        <f>'1. All Data'!V97</f>
        <v>Fully Achieved</v>
      </c>
      <c r="K82" s="117"/>
      <c r="L82" s="117"/>
      <c r="M82" s="118"/>
      <c r="N82" s="119"/>
      <c r="O82" s="119"/>
      <c r="P82" s="119"/>
      <c r="Q82" s="119"/>
      <c r="R82" s="118"/>
      <c r="S82" s="117"/>
      <c r="T82" s="117"/>
      <c r="U82" s="117"/>
      <c r="V82" s="120"/>
      <c r="W82" s="117"/>
      <c r="X82" s="118"/>
      <c r="Y82" s="118"/>
      <c r="Z82" s="118"/>
      <c r="AA82" s="118"/>
      <c r="AB82" s="109"/>
      <c r="AC82" s="94"/>
      <c r="AD82" s="110"/>
      <c r="AE82" s="110"/>
      <c r="AF82" s="110"/>
      <c r="AG82" s="110"/>
      <c r="AH82" s="110"/>
      <c r="AI82" s="110"/>
      <c r="AJ82" s="110"/>
      <c r="AK82" s="110"/>
      <c r="AL82" s="110"/>
      <c r="AM82" s="110"/>
      <c r="AN82" s="110"/>
      <c r="AO82" s="110"/>
      <c r="AP82" s="110"/>
      <c r="AQ82" s="110"/>
      <c r="AR82" s="110"/>
      <c r="AS82" s="110"/>
      <c r="AT82" s="110"/>
    </row>
    <row r="83" spans="1:46" s="116" customFormat="1" ht="103.5" customHeight="1">
      <c r="A83" s="95" t="str">
        <f>'1. All Data'!B98</f>
        <v>TCD04</v>
      </c>
      <c r="B83" s="127" t="str">
        <f>'1. All Data'!C98</f>
        <v>Developing Tourism within the Borough</v>
      </c>
      <c r="C83" s="128" t="str">
        <f>'1. All Data'!D98</f>
        <v>Deliver and baseline footfall for a range of tourism events throughout the year</v>
      </c>
      <c r="D83" s="124" t="str">
        <f>'1. All Data'!H98</f>
        <v>On Track to be Achieved</v>
      </c>
      <c r="E83" s="97"/>
      <c r="F83" s="125" t="str">
        <f>'1. All Data'!M98</f>
        <v>On Track to be Achieved</v>
      </c>
      <c r="G83" s="121"/>
      <c r="H83" s="126" t="str">
        <f>'1. All Data'!R98</f>
        <v>On Track to be Achieved</v>
      </c>
      <c r="I83" s="121"/>
      <c r="J83" s="126" t="str">
        <f>'1. All Data'!V98</f>
        <v>Fully Achieved</v>
      </c>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row>
    <row r="84" spans="1:46" ht="99.75" customHeight="1">
      <c r="A84" s="95" t="str">
        <f>'1. All Data'!B99</f>
        <v>TCD05</v>
      </c>
      <c r="B84" s="127" t="str">
        <f>'1. All Data'!C99</f>
        <v>Developing Tourism within the Borough</v>
      </c>
      <c r="C84" s="128" t="str">
        <f>'1. All Data'!D99</f>
        <v>Complete review of way marking around Burton town centre</v>
      </c>
      <c r="D84" s="124" t="str">
        <f>'1. All Data'!H99</f>
        <v>Not Yet Due</v>
      </c>
      <c r="E84" s="96"/>
      <c r="F84" s="125" t="str">
        <f>'1. All Data'!M99</f>
        <v>On Track to be Achieved</v>
      </c>
      <c r="G84" s="97"/>
      <c r="H84" s="126" t="str">
        <f>'1. All Data'!R99</f>
        <v>On Track to be Achieved</v>
      </c>
      <c r="I84" s="97"/>
      <c r="J84" s="126" t="str">
        <f>'1. All Data'!V99</f>
        <v>Fully Achieved</v>
      </c>
    </row>
    <row r="85" spans="1:46" ht="99.75" customHeight="1">
      <c r="A85" s="95" t="str">
        <f>'1. All Data'!B100</f>
        <v>TCD09b</v>
      </c>
      <c r="B85" s="127" t="str">
        <f>'1. All Data'!C100</f>
        <v>Improve awareness of Council Services, venues and initiatives</v>
      </c>
      <c r="C85" s="128" t="str">
        <f>'1. All Data'!D100</f>
        <v>Develop a new, revised website for the Brewhouse, Arts and Civic Function Suite</v>
      </c>
      <c r="D85" s="124" t="str">
        <f>'1. All Data'!H100</f>
        <v>On Track to be Achieved</v>
      </c>
      <c r="E85" s="96"/>
      <c r="F85" s="125" t="str">
        <f>'1. All Data'!M100</f>
        <v>On Track to be Achieved</v>
      </c>
      <c r="G85" s="97"/>
      <c r="H85" s="126" t="str">
        <f>'1. All Data'!R100</f>
        <v>Fully Achieved</v>
      </c>
      <c r="I85" s="97"/>
      <c r="J85" s="126" t="str">
        <f>'1. All Data'!V100</f>
        <v>Fully Achieved</v>
      </c>
    </row>
    <row r="86" spans="1:46" ht="99.75" customHeight="1">
      <c r="A86" s="95" t="str">
        <f>'1. All Data'!B101</f>
        <v>TCD06</v>
      </c>
      <c r="B86" s="127" t="str">
        <f>'1. All Data'!C101</f>
        <v>Brewhouse and Town Hall Service</v>
      </c>
      <c r="C86" s="128" t="str">
        <f>'1. All Data'!D101</f>
        <v>As part of a project aimed at shaping a new music-led narrative for Burton we will deliver 6 pop-up live events and 2 workshops</v>
      </c>
      <c r="D86" s="124" t="str">
        <f>'1. All Data'!H101</f>
        <v>On Track to be Achieved</v>
      </c>
      <c r="E86" s="96"/>
      <c r="F86" s="125" t="str">
        <f>'1. All Data'!M101</f>
        <v>On Track to be Achieved</v>
      </c>
      <c r="G86" s="105"/>
      <c r="H86" s="126" t="str">
        <f>'1. All Data'!R101</f>
        <v>Fully Achieved</v>
      </c>
      <c r="I86" s="97"/>
      <c r="J86" s="126" t="str">
        <f>'1. All Data'!V101</f>
        <v>Fully Achieved</v>
      </c>
    </row>
    <row r="87" spans="1:46" ht="99.75" customHeight="1">
      <c r="A87" s="95" t="str">
        <f>'1. All Data'!B102</f>
        <v>TCD07</v>
      </c>
      <c r="B87" s="127" t="str">
        <f>'1. All Data'!C102</f>
        <v>Brewhouse and Town Hall Service</v>
      </c>
      <c r="C87" s="128" t="str">
        <f>'1. All Data'!D102</f>
        <v>Deliver 6 outdoor events, including activity such as street theatre and performances in our parks</v>
      </c>
      <c r="D87" s="124" t="str">
        <f>'1. All Data'!H102</f>
        <v>On Track to be Achieved</v>
      </c>
      <c r="E87" s="96"/>
      <c r="F87" s="125" t="str">
        <f>'1. All Data'!M102</f>
        <v>On Track to be Achieved</v>
      </c>
      <c r="G87" s="97"/>
      <c r="H87" s="126" t="str">
        <f>'1. All Data'!R102</f>
        <v>Fully Achieved</v>
      </c>
      <c r="I87" s="97"/>
      <c r="J87" s="126" t="str">
        <f>'1. All Data'!V102</f>
        <v>Fully Achieved</v>
      </c>
    </row>
    <row r="88" spans="1:46" ht="99.75" customHeight="1">
      <c r="A88" s="95" t="str">
        <f>'1. All Data'!B103</f>
        <v>TCD08</v>
      </c>
      <c r="B88" s="127" t="str">
        <f>'1. All Data'!C103</f>
        <v>Brewhouse and Town Hall Service</v>
      </c>
      <c r="C88" s="128" t="str">
        <f>'1. All Data'!D103</f>
        <v>Complete the refurbishment of the Brewhouse roof</v>
      </c>
      <c r="D88" s="124" t="str">
        <f>'1. All Data'!H103</f>
        <v>On Track to be Achieved</v>
      </c>
      <c r="E88" s="96"/>
      <c r="F88" s="125" t="str">
        <f>'1. All Data'!M103</f>
        <v>Off Target</v>
      </c>
      <c r="G88" s="97"/>
      <c r="H88" s="126" t="str">
        <f>'1. All Data'!R103</f>
        <v>Off Target</v>
      </c>
      <c r="I88" s="97"/>
      <c r="J88" s="126" t="str">
        <f>'1. All Data'!V103</f>
        <v>Off Target</v>
      </c>
    </row>
    <row r="89" spans="1:46" ht="99.75" customHeight="1">
      <c r="A89" s="95" t="str">
        <f>'1. All Data'!B104</f>
        <v>GD10</v>
      </c>
      <c r="B89" s="127" t="str">
        <f>'1. All Data'!C104</f>
        <v>Tackling Envirocrime</v>
      </c>
      <c r="C89" s="128" t="str">
        <f>'1. All Data'!D104</f>
        <v>Introduce mobile fly-tipping removal vehicle</v>
      </c>
      <c r="D89" s="124" t="str">
        <f>'1. All Data'!H104</f>
        <v>On Track to be Achieved</v>
      </c>
      <c r="E89" s="97"/>
      <c r="F89" s="125" t="str">
        <f>'1. All Data'!M104</f>
        <v>On Track to be Achieved</v>
      </c>
      <c r="G89" s="97"/>
      <c r="H89" s="126" t="str">
        <f>'1. All Data'!R104</f>
        <v>Fully Achieved</v>
      </c>
      <c r="I89" s="97"/>
      <c r="J89" s="126" t="str">
        <f>'1. All Data'!V104</f>
        <v>Fully Achieved</v>
      </c>
    </row>
    <row r="90" spans="1:46" ht="99.75" customHeight="1">
      <c r="A90" s="95" t="str">
        <f>'1. All Data'!B106</f>
        <v>ECC13a</v>
      </c>
      <c r="B90" s="127" t="str">
        <f>'1. All Data'!C106</f>
        <v>Maintain Performance For Street Cleansing</v>
      </c>
      <c r="C90" s="128" t="str">
        <f>'1. All Data'!D106</f>
        <v>Litter, 0% (using NI195 survey methodology)</v>
      </c>
      <c r="D90" s="124" t="str">
        <f>'1. All Data'!H106</f>
        <v>Not Yet Due</v>
      </c>
      <c r="E90" s="96"/>
      <c r="F90" s="125" t="str">
        <f>'1. All Data'!M106</f>
        <v>On Track to be Achieved</v>
      </c>
      <c r="G90" s="97"/>
      <c r="H90" s="126" t="str">
        <f>'1. All Data'!R106</f>
        <v>On Track to be Achieved</v>
      </c>
      <c r="I90" s="97"/>
      <c r="J90" s="126" t="str">
        <f>'1. All Data'!V106</f>
        <v>Fully Achieved</v>
      </c>
    </row>
    <row r="91" spans="1:46" ht="99.75" customHeight="1">
      <c r="A91" s="95" t="str">
        <f>'1. All Data'!B107</f>
        <v>ECC13b</v>
      </c>
      <c r="B91" s="127" t="str">
        <f>'1. All Data'!C107</f>
        <v>Maintain Performance For Street Cleansing</v>
      </c>
      <c r="C91" s="128" t="str">
        <f>'1. All Data'!D107</f>
        <v>Detritus, 0% (using NI195 survey 
methodology)</v>
      </c>
      <c r="D91" s="124" t="str">
        <f>'1. All Data'!H107</f>
        <v>Not Yet Due</v>
      </c>
      <c r="E91" s="97"/>
      <c r="F91" s="125" t="str">
        <f>'1. All Data'!M107</f>
        <v>On Track to be Achieved</v>
      </c>
      <c r="G91" s="97"/>
      <c r="H91" s="126" t="str">
        <f>'1. All Data'!R107</f>
        <v>On Track to be Achieved</v>
      </c>
      <c r="I91" s="97"/>
      <c r="J91" s="126" t="str">
        <f>'1. All Data'!V107</f>
        <v>Fully Achieved</v>
      </c>
    </row>
    <row r="92" spans="1:46" ht="99.75" customHeight="1">
      <c r="A92" s="95" t="str">
        <f>'1. All Data'!B108</f>
        <v>ECC13c</v>
      </c>
      <c r="B92" s="127" t="str">
        <f>'1. All Data'!C108</f>
        <v>Maintain Performance For Street Cleansing</v>
      </c>
      <c r="C92" s="128" t="str">
        <f>'1. All Data'!D108</f>
        <v>Graffiti, 0% (using NI195 survey 
methodology)</v>
      </c>
      <c r="D92" s="124" t="str">
        <f>'1. All Data'!H108</f>
        <v>Not Yet Due</v>
      </c>
      <c r="E92" s="96"/>
      <c r="F92" s="125" t="str">
        <f>'1. All Data'!M108</f>
        <v>On Track to be Achieved</v>
      </c>
      <c r="G92" s="97"/>
      <c r="H92" s="126" t="str">
        <f>'1. All Data'!R108</f>
        <v>On Track to be Achieved</v>
      </c>
      <c r="I92" s="97"/>
      <c r="J92" s="126" t="str">
        <f>'1. All Data'!V108</f>
        <v>Fully Achieved</v>
      </c>
    </row>
    <row r="93" spans="1:46" ht="99.75" customHeight="1">
      <c r="A93" s="95" t="str">
        <f>'1. All Data'!B109</f>
        <v>ECC13d</v>
      </c>
      <c r="B93" s="127" t="str">
        <f>'1. All Data'!C109</f>
        <v>Maintain Performance For Street Cleansing</v>
      </c>
      <c r="C93" s="128" t="str">
        <f>'1. All Data'!D109</f>
        <v>Fly-posting, 0% (using NI195 survey 
methodology)</v>
      </c>
      <c r="D93" s="124" t="str">
        <f>'1. All Data'!H109</f>
        <v>Not Yet Due</v>
      </c>
      <c r="E93" s="96"/>
      <c r="F93" s="125" t="str">
        <f>'1. All Data'!M109</f>
        <v>On Track to be Achieved</v>
      </c>
      <c r="G93" s="97"/>
      <c r="H93" s="126" t="str">
        <f>'1. All Data'!R109</f>
        <v>On Track to be Achieved</v>
      </c>
      <c r="I93" s="97"/>
      <c r="J93" s="126" t="str">
        <f>'1. All Data'!V109</f>
        <v>Fully Achieved</v>
      </c>
    </row>
    <row r="94" spans="1:46" ht="99.75" customHeight="1">
      <c r="A94" s="95" t="str">
        <f>'1. All Data'!B110</f>
        <v>ECC14</v>
      </c>
      <c r="B94" s="127" t="str">
        <f>'1. All Data'!C110</f>
        <v>Minimise The Number Of Missed Bin Collections</v>
      </c>
      <c r="C94" s="128" t="str">
        <f>'1. All Data'!D110</f>
        <v>Number Of Missed Bin Collections: Achieve 99.97% successful bin collections across the Borough</v>
      </c>
      <c r="D94" s="124" t="str">
        <f>'1. All Data'!H110</f>
        <v>On Track to be Achieved</v>
      </c>
      <c r="E94" s="96"/>
      <c r="F94" s="125" t="str">
        <f>'1. All Data'!M110</f>
        <v>On Track to be Achieved</v>
      </c>
      <c r="G94" s="97"/>
      <c r="H94" s="126" t="str">
        <f>'1. All Data'!R110</f>
        <v>On Track to be Achieved</v>
      </c>
      <c r="I94" s="97"/>
      <c r="J94" s="126" t="str">
        <f>'1. All Data'!V110</f>
        <v>Fully Achieved</v>
      </c>
    </row>
    <row r="95" spans="1:46" ht="99.75" customHeight="1">
      <c r="A95" s="95" t="str">
        <f>'1. All Data'!B111</f>
        <v>ECC15</v>
      </c>
      <c r="B95" s="127" t="str">
        <f>'1. All Data'!C111</f>
        <v>Getting ready for the future</v>
      </c>
      <c r="C95" s="128" t="str">
        <f>'1. All Data'!D111</f>
        <v>Go live with the data-modelling of the waste management round configuration</v>
      </c>
      <c r="D95" s="124" t="str">
        <f>'1. All Data'!H111</f>
        <v>Fully Achieved</v>
      </c>
      <c r="E95" s="96"/>
      <c r="F95" s="125" t="str">
        <f>'1. All Data'!M111</f>
        <v>Fully Achieved</v>
      </c>
      <c r="G95" s="97"/>
      <c r="H95" s="126" t="str">
        <f>'1. All Data'!R111</f>
        <v>Fully Achieved</v>
      </c>
      <c r="I95" s="97"/>
      <c r="J95" s="126" t="str">
        <f>'1. All Data'!V111</f>
        <v>Fully Achieved</v>
      </c>
    </row>
    <row r="96" spans="1:46" ht="99.75" customHeight="1">
      <c r="A96" s="95" t="str">
        <f>'1. All Data'!B112</f>
        <v>ECC16</v>
      </c>
      <c r="B96" s="127" t="str">
        <f>'1. All Data'!C112</f>
        <v>Getting ready for the future</v>
      </c>
      <c r="C96" s="128" t="str">
        <f>'1. All Data'!D112</f>
        <v xml:space="preserve">Report to Cabinet on the new round configuration and procurement requirements of the new waste management vehicles </v>
      </c>
      <c r="D96" s="124" t="str">
        <f>'1. All Data'!H112</f>
        <v>On Track to be Achieved</v>
      </c>
      <c r="E96" s="97"/>
      <c r="F96" s="125" t="str">
        <f>'1. All Data'!M112</f>
        <v>Fully Achieved</v>
      </c>
      <c r="G96" s="97"/>
      <c r="H96" s="126" t="str">
        <f>'1. All Data'!R112</f>
        <v>Fully Achieved</v>
      </c>
      <c r="I96" s="97"/>
      <c r="J96" s="126" t="str">
        <f>'1. All Data'!V112</f>
        <v>Fully Achieved</v>
      </c>
    </row>
    <row r="97" spans="1:10" ht="99.75" customHeight="1">
      <c r="A97" s="95" t="str">
        <f>'1. All Data'!B114</f>
        <v>ECC18</v>
      </c>
      <c r="B97" s="127" t="str">
        <f>'1. All Data'!C114</f>
        <v>Getting ready for the future</v>
      </c>
      <c r="C97" s="128" t="str">
        <f>'1. All Data'!D114</f>
        <v>Prepare a Depot Strategy to identify options to future proof the service</v>
      </c>
      <c r="D97" s="124" t="str">
        <f>'1. All Data'!H114</f>
        <v>On Track to be Achieved</v>
      </c>
      <c r="E97" s="97"/>
      <c r="F97" s="125" t="str">
        <f>'1. All Data'!M114</f>
        <v>On Track to be Achieved</v>
      </c>
      <c r="G97" s="97"/>
      <c r="H97" s="126" t="str">
        <f>'1. All Data'!R114</f>
        <v>Fully Achieved</v>
      </c>
      <c r="I97" s="97"/>
      <c r="J97" s="126" t="str">
        <f>'1. All Data'!V114</f>
        <v>Fully Achieved</v>
      </c>
    </row>
    <row r="98" spans="1:10" ht="99.75" customHeight="1">
      <c r="A98" s="95" t="str">
        <f>'1. All Data'!B115</f>
        <v>ECC19</v>
      </c>
      <c r="B98" s="127" t="str">
        <f>'1. All Data'!C115</f>
        <v>Improve Performance On Waste Reduction</v>
      </c>
      <c r="C98" s="128" t="str">
        <f>'1. All Data'!D115</f>
        <v>Residual Household Waste Per Household: Upper Quartile</v>
      </c>
      <c r="D98" s="124" t="str">
        <f>'1. All Data'!H115</f>
        <v>In Danger of Falling Behind Target</v>
      </c>
      <c r="E98" s="96"/>
      <c r="F98" s="125" t="str">
        <f>'1. All Data'!M115</f>
        <v>In Danger of Falling Behind Target</v>
      </c>
      <c r="G98" s="105"/>
      <c r="H98" s="126" t="str">
        <f>'1. All Data'!R115</f>
        <v>In Danger of Falling Behind Target</v>
      </c>
      <c r="I98" s="97"/>
      <c r="J98" s="126" t="str">
        <f>'1. All Data'!V115</f>
        <v>Off Target</v>
      </c>
    </row>
    <row r="99" spans="1:10" ht="99.75" customHeight="1">
      <c r="A99" s="95" t="str">
        <f>'1. All Data'!B116</f>
        <v>ECC20</v>
      </c>
      <c r="B99" s="127" t="str">
        <f>'1. All Data'!C116</f>
        <v xml:space="preserve">Maintain Performance On Recycling </v>
      </c>
      <c r="C99" s="128" t="str">
        <f>'1. All Data'!D116</f>
        <v>Household Waste Recycled and Composted: Upper Quartile</v>
      </c>
      <c r="D99" s="124" t="str">
        <f>'1. All Data'!H116</f>
        <v>In Danger of Falling Behind Target</v>
      </c>
      <c r="E99" s="97"/>
      <c r="F99" s="125" t="str">
        <f>'1. All Data'!M116</f>
        <v>In Danger of Falling Behind Target</v>
      </c>
      <c r="G99" s="104"/>
      <c r="H99" s="126" t="str">
        <f>'1. All Data'!R116</f>
        <v>In Danger of Falling Behind Target</v>
      </c>
      <c r="I99" s="97"/>
      <c r="J99" s="126" t="str">
        <f>'1. All Data'!V116</f>
        <v>Numerical Outturn Within 10% Tolerance</v>
      </c>
    </row>
    <row r="100" spans="1:10" ht="99.75" customHeight="1">
      <c r="A100" s="95" t="str">
        <f>'1. All Data'!B117</f>
        <v>ECC21</v>
      </c>
      <c r="B100" s="127" t="str">
        <f>'1. All Data'!C117</f>
        <v>Getting ready for the future</v>
      </c>
      <c r="C100" s="128" t="str">
        <f>'1. All Data'!D117</f>
        <v>Carry out Green Vehicle Trial on collection rounds</v>
      </c>
      <c r="D100" s="124" t="str">
        <f>'1. All Data'!H117</f>
        <v>Not Yet Due</v>
      </c>
      <c r="E100" s="97"/>
      <c r="F100" s="125" t="str">
        <f>'1. All Data'!M117</f>
        <v>On Track to be Achieved</v>
      </c>
      <c r="G100" s="97"/>
      <c r="H100" s="126" t="str">
        <f>'1. All Data'!R117</f>
        <v>On Track to be Achieved</v>
      </c>
      <c r="I100" s="97"/>
      <c r="J100" s="126" t="str">
        <f>'1. All Data'!V117</f>
        <v>Fully Achieved</v>
      </c>
    </row>
    <row r="101" spans="1:10" ht="99.75" customHeight="1">
      <c r="A101" s="95" t="str">
        <f>'1. All Data'!B120</f>
        <v>GD01</v>
      </c>
      <c r="B101" s="127" t="str">
        <f>'1. All Data'!C120</f>
        <v>Tackling the cost of living crisis</v>
      </c>
      <c r="C101" s="128" t="str">
        <f>'1. All Data'!D120</f>
        <v>Identify 150 properties with an EPC of D or below where the occupant is on Council tax reduction to offer a range of energy efficiency measures, including insulation, to reduce fuel poverty</v>
      </c>
      <c r="D101" s="124" t="str">
        <f>'1. All Data'!H120</f>
        <v>On Track to be Achieved</v>
      </c>
      <c r="E101" s="97"/>
      <c r="F101" s="125" t="str">
        <f>'1. All Data'!M120</f>
        <v>On Track to be Achieved</v>
      </c>
      <c r="G101" s="97"/>
      <c r="H101" s="126" t="str">
        <f>'1. All Data'!R120</f>
        <v>On Track to be Achieved</v>
      </c>
      <c r="I101" s="97"/>
      <c r="J101" s="126" t="str">
        <f>'1. All Data'!V120</f>
        <v>Off Target</v>
      </c>
    </row>
    <row r="102" spans="1:10" ht="99.75" customHeight="1">
      <c r="A102" s="95" t="str">
        <f>'1. All Data'!B123</f>
        <v>GD06</v>
      </c>
      <c r="B102" s="127" t="str">
        <f>'1. All Data'!C123</f>
        <v>A Green New Deal for East Staffordshire</v>
      </c>
      <c r="C102" s="128" t="str">
        <f>'1. All Data'!D123</f>
        <v>Work with local cycle firms to provide affordable bike rental for visitors and residents</v>
      </c>
      <c r="D102" s="124" t="str">
        <f>'1. All Data'!H123</f>
        <v>Not Yet Due</v>
      </c>
      <c r="E102" s="96"/>
      <c r="F102" s="125" t="str">
        <f>'1. All Data'!M123</f>
        <v>Not Yet Due</v>
      </c>
      <c r="G102" s="97"/>
      <c r="H102" s="126" t="str">
        <f>'1. All Data'!R123</f>
        <v>Fully Achieved</v>
      </c>
      <c r="I102" s="97"/>
      <c r="J102" s="126" t="str">
        <f>'1. All Data'!V123</f>
        <v>Fully Achieved</v>
      </c>
    </row>
    <row r="103" spans="1:10" ht="99.75" customHeight="1">
      <c r="A103" s="95" t="str">
        <f>'1. All Data'!B125</f>
        <v>CRS06</v>
      </c>
      <c r="B103" s="127" t="str">
        <f>'1. All Data'!C125</f>
        <v>Supporting local communities</v>
      </c>
      <c r="C103" s="128" t="str">
        <f>'1. All Data'!D125</f>
        <v>Undertake a review of the Public Events Safety Advisory Group procedures and update as required</v>
      </c>
      <c r="D103" s="124" t="str">
        <f>'1. All Data'!H125</f>
        <v>On Track to be Achieved</v>
      </c>
      <c r="E103" s="96"/>
      <c r="F103" s="125" t="str">
        <f>'1. All Data'!M125</f>
        <v>Fully Achieved</v>
      </c>
      <c r="G103" s="97"/>
      <c r="H103" s="126" t="str">
        <f>'1. All Data'!R125</f>
        <v>Fully Achieved</v>
      </c>
      <c r="I103" s="97"/>
      <c r="J103" s="126" t="str">
        <f>'1. All Data'!V125</f>
        <v>Fully Achieved</v>
      </c>
    </row>
    <row r="104" spans="1:10" ht="99.75" customHeight="1">
      <c r="A104" s="95" t="str">
        <f>'1. All Data'!B126</f>
        <v>CRS12</v>
      </c>
      <c r="B104" s="127" t="str">
        <f>'1. All Data'!C126</f>
        <v>Disabled Facilities Grants</v>
      </c>
      <c r="C104" s="128" t="str">
        <f>'1. All Data'!D126</f>
        <v>Improve service delivery timescales from ‘enquiry to completion’ by 10% on 22/23 performance</v>
      </c>
      <c r="D104" s="124" t="str">
        <f>'1. All Data'!H126</f>
        <v>Not Yet Due</v>
      </c>
      <c r="E104" s="97"/>
      <c r="F104" s="125" t="str">
        <f>'1. All Data'!M126</f>
        <v>On Track to be Achieved</v>
      </c>
      <c r="G104" s="97"/>
      <c r="H104" s="126" t="str">
        <f>'1. All Data'!R126</f>
        <v>On Track to be Achieved</v>
      </c>
      <c r="I104" s="97"/>
      <c r="J104" s="126" t="str">
        <f>'1. All Data'!V126</f>
        <v>Fully Achieved</v>
      </c>
    </row>
    <row r="105" spans="1:10" ht="99.75" customHeight="1">
      <c r="A105" s="95" t="e">
        <f>'1. All Data'!#REF!</f>
        <v>#REF!</v>
      </c>
      <c r="B105" s="127" t="e">
        <f>'1. All Data'!#REF!</f>
        <v>#REF!</v>
      </c>
      <c r="C105" s="128" t="e">
        <f>'1. All Data'!#REF!</f>
        <v>#REF!</v>
      </c>
      <c r="D105" s="124" t="e">
        <f>'1. All Data'!#REF!</f>
        <v>#REF!</v>
      </c>
      <c r="E105" s="97"/>
      <c r="F105" s="125" t="e">
        <f>'1. All Data'!#REF!</f>
        <v>#REF!</v>
      </c>
      <c r="G105" s="97"/>
      <c r="H105" s="126" t="e">
        <f>'1. All Data'!#REF!</f>
        <v>#REF!</v>
      </c>
      <c r="I105" s="97"/>
      <c r="J105" s="126" t="e">
        <f>'1. All Data'!#REF!</f>
        <v>#REF!</v>
      </c>
    </row>
    <row r="106" spans="1:10" ht="99.75" customHeight="1">
      <c r="A106" s="95" t="e">
        <f>'1. All Data'!#REF!</f>
        <v>#REF!</v>
      </c>
      <c r="B106" s="127" t="e">
        <f>'1. All Data'!#REF!</f>
        <v>#REF!</v>
      </c>
      <c r="C106" s="128" t="e">
        <f>'1. All Data'!#REF!</f>
        <v>#REF!</v>
      </c>
      <c r="D106" s="124" t="e">
        <f>'1. All Data'!#REF!</f>
        <v>#REF!</v>
      </c>
      <c r="E106" s="97"/>
      <c r="F106" s="125" t="e">
        <f>'1. All Data'!#REF!</f>
        <v>#REF!</v>
      </c>
      <c r="G106" s="97"/>
      <c r="H106" s="126" t="e">
        <f>'1. All Data'!#REF!</f>
        <v>#REF!</v>
      </c>
      <c r="I106" s="97"/>
      <c r="J106" s="126" t="e">
        <f>'1. All Data'!#REF!</f>
        <v>#REF!</v>
      </c>
    </row>
    <row r="107" spans="1:10" ht="99.75" customHeight="1">
      <c r="A107" s="95" t="e">
        <f>'1. All Data'!#REF!</f>
        <v>#REF!</v>
      </c>
      <c r="B107" s="127" t="e">
        <f>'1. All Data'!#REF!</f>
        <v>#REF!</v>
      </c>
      <c r="C107" s="128" t="e">
        <f>'1. All Data'!#REF!</f>
        <v>#REF!</v>
      </c>
      <c r="D107" s="124" t="e">
        <f>'1. All Data'!#REF!</f>
        <v>#REF!</v>
      </c>
      <c r="E107" s="97"/>
      <c r="F107" s="125" t="e">
        <f>'1. All Data'!#REF!</f>
        <v>#REF!</v>
      </c>
      <c r="G107" s="97"/>
      <c r="H107" s="126" t="e">
        <f>'1. All Data'!#REF!</f>
        <v>#REF!</v>
      </c>
      <c r="I107" s="97"/>
      <c r="J107" s="126" t="e">
        <f>'1. All Data'!#REF!</f>
        <v>#REF!</v>
      </c>
    </row>
    <row r="108" spans="1:10" ht="99.75" customHeight="1">
      <c r="A108" s="95" t="e">
        <f>'1. All Data'!#REF!</f>
        <v>#REF!</v>
      </c>
      <c r="B108" s="127" t="e">
        <f>'1. All Data'!#REF!</f>
        <v>#REF!</v>
      </c>
      <c r="C108" s="128" t="e">
        <f>'1. All Data'!#REF!</f>
        <v>#REF!</v>
      </c>
      <c r="D108" s="124" t="e">
        <f>'1. All Data'!#REF!</f>
        <v>#REF!</v>
      </c>
      <c r="E108" s="97"/>
      <c r="F108" s="125" t="e">
        <f>'1. All Data'!#REF!</f>
        <v>#REF!</v>
      </c>
      <c r="G108" s="97"/>
      <c r="H108" s="126" t="e">
        <f>'1. All Data'!#REF!</f>
        <v>#REF!</v>
      </c>
      <c r="I108" s="97"/>
      <c r="J108" s="126" t="e">
        <f>'1. All Data'!#REF!</f>
        <v>#REF!</v>
      </c>
    </row>
    <row r="109" spans="1:10" ht="99.75" customHeight="1">
      <c r="A109" s="95" t="e">
        <f>'1. All Data'!#REF!</f>
        <v>#REF!</v>
      </c>
      <c r="B109" s="127" t="e">
        <f>'1. All Data'!#REF!</f>
        <v>#REF!</v>
      </c>
      <c r="C109" s="128" t="e">
        <f>'1. All Data'!#REF!</f>
        <v>#REF!</v>
      </c>
      <c r="D109" s="124" t="e">
        <f>'1. All Data'!#REF!</f>
        <v>#REF!</v>
      </c>
      <c r="E109" s="97"/>
      <c r="F109" s="125" t="e">
        <f>'1. All Data'!#REF!</f>
        <v>#REF!</v>
      </c>
      <c r="G109" s="97"/>
      <c r="H109" s="126" t="e">
        <f>'1. All Data'!#REF!</f>
        <v>#REF!</v>
      </c>
      <c r="I109" s="97"/>
      <c r="J109" s="126" t="e">
        <f>'1. All Data'!#REF!</f>
        <v>#REF!</v>
      </c>
    </row>
    <row r="110" spans="1:10" ht="99.75" customHeight="1">
      <c r="A110" s="95" t="e">
        <f>'1. All Data'!#REF!</f>
        <v>#REF!</v>
      </c>
      <c r="B110" s="127" t="e">
        <f>'1. All Data'!#REF!</f>
        <v>#REF!</v>
      </c>
      <c r="C110" s="128" t="e">
        <f>'1. All Data'!#REF!</f>
        <v>#REF!</v>
      </c>
      <c r="D110" s="124" t="e">
        <f>'1. All Data'!#REF!</f>
        <v>#REF!</v>
      </c>
      <c r="E110" s="96"/>
      <c r="F110" s="125" t="e">
        <f>'1. All Data'!#REF!</f>
        <v>#REF!</v>
      </c>
      <c r="G110" s="97"/>
      <c r="H110" s="126" t="e">
        <f>'1. All Data'!#REF!</f>
        <v>#REF!</v>
      </c>
      <c r="I110" s="104"/>
      <c r="J110" s="126" t="e">
        <f>'1. All Data'!#REF!</f>
        <v>#REF!</v>
      </c>
    </row>
    <row r="111" spans="1:10" s="98" customFormat="1">
      <c r="C111" s="122"/>
    </row>
    <row r="112" spans="1:10" s="98" customFormat="1">
      <c r="C112" s="122"/>
    </row>
    <row r="113" spans="3:3" s="98" customFormat="1">
      <c r="C113" s="122"/>
    </row>
    <row r="114" spans="3:3" s="98" customFormat="1">
      <c r="C114" s="122"/>
    </row>
    <row r="115" spans="3:3" s="98" customFormat="1">
      <c r="C115" s="122"/>
    </row>
    <row r="116" spans="3:3" s="98" customFormat="1">
      <c r="C116" s="122"/>
    </row>
    <row r="117" spans="3:3" s="98" customFormat="1">
      <c r="C117" s="122"/>
    </row>
    <row r="118" spans="3:3" s="98" customFormat="1">
      <c r="C118" s="122"/>
    </row>
    <row r="119" spans="3:3" s="98" customFormat="1">
      <c r="C119" s="122"/>
    </row>
    <row r="120" spans="3:3" s="98" customFormat="1">
      <c r="C120" s="122"/>
    </row>
    <row r="121" spans="3:3" s="98" customFormat="1">
      <c r="C121" s="122"/>
    </row>
    <row r="122" spans="3:3" s="98" customFormat="1">
      <c r="C122" s="122"/>
    </row>
    <row r="123" spans="3:3" s="98" customFormat="1">
      <c r="C123" s="122"/>
    </row>
    <row r="124" spans="3:3" s="98" customFormat="1">
      <c r="C124" s="122"/>
    </row>
    <row r="125" spans="3:3" s="98" customFormat="1">
      <c r="C125" s="122"/>
    </row>
    <row r="126" spans="3:3" s="98" customFormat="1">
      <c r="C126" s="122"/>
    </row>
    <row r="127" spans="3:3" s="98" customFormat="1">
      <c r="C127" s="122"/>
    </row>
    <row r="128" spans="3:3" s="98" customFormat="1">
      <c r="C128" s="122"/>
    </row>
    <row r="129" spans="3:3">
      <c r="C129" s="122"/>
    </row>
  </sheetData>
  <sheetProtection algorithmName="SHA-512" hashValue="L3arEyeHf5a4zH0743XXLpI0ht9EBVHJsTcbfqzSfi+t8XSRwTUfH5SDf9sA/hDEIUmXLfLCZX+h/Ga1164o9w==" saltValue="bqVGGwlDANYn+Etvvzyt3g==" spinCount="100000" sheet="1" objects="1" scenarios="1"/>
  <conditionalFormatting sqref="V82">
    <cfRule type="containsText" dxfId="3971" priority="4241" operator="containsText" text="Numerical Outturn Within 10% Tolerance">
      <formula>NOT(ISERROR(SEARCH("Numerical Outturn Within 10% Tolerance",V82)))</formula>
    </cfRule>
    <cfRule type="containsText" dxfId="3970" priority="4242" operator="containsText" text="Numerical Outturn Within 5% Tolerance">
      <formula>NOT(ISERROR(SEARCH("Numerical Outturn Within 5% Tolerance",V82)))</formula>
    </cfRule>
    <cfRule type="containsText" dxfId="3969" priority="4243" operator="containsText" text="Target Achieved / Exceeded">
      <formula>NOT(ISERROR(SEARCH("Target Achieved / Exceeded",V82)))</formula>
    </cfRule>
    <cfRule type="containsText" dxfId="3968" priority="4244" operator="containsText" text="Full Update Not Yet Available">
      <formula>NOT(ISERROR(SEARCH("Full Update Not Yet Available",V82)))</formula>
    </cfRule>
    <cfRule type="containsText" dxfId="3967" priority="4245" operator="containsText" text="Full Update Not Yet Available">
      <formula>NOT(ISERROR(SEARCH("Full Update Not Yet Available",V82)))</formula>
    </cfRule>
  </conditionalFormatting>
  <conditionalFormatting sqref="M82 R82">
    <cfRule type="containsText" dxfId="3966" priority="4223" operator="containsText" text="Deferred">
      <formula>NOT(ISERROR(SEARCH("Deferred",M82)))</formula>
    </cfRule>
  </conditionalFormatting>
  <conditionalFormatting sqref="G29 G42 G50 G54 G61 G69:G71 G74 G83 G86 G98 I42 I50 I61 I69:I71 I83 D3:D110 F3:F110 H3:H110 J3:J110">
    <cfRule type="containsText" dxfId="3965" priority="4218" operator="containsText" text="On track to be achieved">
      <formula>NOT(ISERROR(SEARCH("On track to be achieved",D3)))</formula>
    </cfRule>
    <cfRule type="containsText" dxfId="3964" priority="4219" operator="containsText" text="Deferred">
      <formula>NOT(ISERROR(SEARCH("Deferred",D3)))</formula>
    </cfRule>
    <cfRule type="containsText" dxfId="3963" priority="4220" operator="containsText" text="Deleted">
      <formula>NOT(ISERROR(SEARCH("Deleted",D3)))</formula>
    </cfRule>
    <cfRule type="containsText" dxfId="3962" priority="4221" operator="containsText" text="In Danger of Falling Behind Target">
      <formula>NOT(ISERROR(SEARCH("In Danger of Falling Behind Target",D3)))</formula>
    </cfRule>
    <cfRule type="containsText" dxfId="3961" priority="4222" operator="containsText" text="Not yet due">
      <formula>NOT(ISERROR(SEARCH("Not yet due",D3)))</formula>
    </cfRule>
    <cfRule type="containsText" dxfId="3960" priority="4224" operator="containsText" text="Update not Provided">
      <formula>NOT(ISERROR(SEARCH("Update not Provided",D3)))</formula>
    </cfRule>
    <cfRule type="containsText" dxfId="3959" priority="4225" operator="containsText" text="Not yet due">
      <formula>NOT(ISERROR(SEARCH("Not yet due",D3)))</formula>
    </cfRule>
    <cfRule type="containsText" dxfId="3958" priority="4226" operator="containsText" text="Completed Behind Schedule">
      <formula>NOT(ISERROR(SEARCH("Completed Behind Schedule",D3)))</formula>
    </cfRule>
    <cfRule type="containsText" dxfId="3957" priority="4227" operator="containsText" text="Off Target">
      <formula>NOT(ISERROR(SEARCH("Off Target",D3)))</formula>
    </cfRule>
    <cfRule type="containsText" dxfId="3956" priority="4228" operator="containsText" text="On Track to be Achieved">
      <formula>NOT(ISERROR(SEARCH("On Track to be Achieved",D3)))</formula>
    </cfRule>
    <cfRule type="containsText" dxfId="3955" priority="4229" operator="containsText" text="Fully Achieved">
      <formula>NOT(ISERROR(SEARCH("Fully Achieved",D3)))</formula>
    </cfRule>
    <cfRule type="containsText" dxfId="3954" priority="4230" operator="containsText" text="Not yet due">
      <formula>NOT(ISERROR(SEARCH("Not yet due",D3)))</formula>
    </cfRule>
    <cfRule type="containsText" dxfId="3953" priority="4231" operator="containsText" text="Not Yet Due">
      <formula>NOT(ISERROR(SEARCH("Not Yet Due",D3)))</formula>
    </cfRule>
    <cfRule type="containsText" dxfId="3952" priority="4232" operator="containsText" text="Deferred">
      <formula>NOT(ISERROR(SEARCH("Deferred",D3)))</formula>
    </cfRule>
    <cfRule type="containsText" dxfId="3951" priority="4233" operator="containsText" text="Deleted">
      <formula>NOT(ISERROR(SEARCH("Deleted",D3)))</formula>
    </cfRule>
    <cfRule type="containsText" dxfId="3950" priority="4234" operator="containsText" text="In Danger of Falling Behind Target">
      <formula>NOT(ISERROR(SEARCH("In Danger of Falling Behind Target",D3)))</formula>
    </cfRule>
    <cfRule type="containsText" dxfId="3949" priority="4235" operator="containsText" text="Not yet due">
      <formula>NOT(ISERROR(SEARCH("Not yet due",D3)))</formula>
    </cfRule>
    <cfRule type="containsText" dxfId="3948" priority="4236" operator="containsText" text="Completed Behind Schedule">
      <formula>NOT(ISERROR(SEARCH("Completed Behind Schedule",D3)))</formula>
    </cfRule>
    <cfRule type="containsText" dxfId="3947" priority="4237" operator="containsText" text="Off Target">
      <formula>NOT(ISERROR(SEARCH("Off Target",D3)))</formula>
    </cfRule>
    <cfRule type="containsText" dxfId="3946" priority="4238" operator="containsText" text="In Danger of Falling Behind Target">
      <formula>NOT(ISERROR(SEARCH("In Danger of Falling Behind Target",D3)))</formula>
    </cfRule>
    <cfRule type="containsText" dxfId="3945" priority="4239" operator="containsText" text="On Track to be Achieved">
      <formula>NOT(ISERROR(SEARCH("On Track to be Achieved",D3)))</formula>
    </cfRule>
    <cfRule type="containsText" dxfId="3944" priority="4240" operator="containsText" text="Fully Achieved">
      <formula>NOT(ISERROR(SEARCH("Fully Achieved",D3)))</formula>
    </cfRule>
    <cfRule type="containsText" dxfId="3943" priority="4246" operator="containsText" text="Update not Provided">
      <formula>NOT(ISERROR(SEARCH("Update not Provided",D3)))</formula>
    </cfRule>
    <cfRule type="containsText" dxfId="3942" priority="4247" operator="containsText" text="Not yet due">
      <formula>NOT(ISERROR(SEARCH("Not yet due",D3)))</formula>
    </cfRule>
    <cfRule type="containsText" dxfId="3941" priority="4248" operator="containsText" text="Completed Behind Schedule">
      <formula>NOT(ISERROR(SEARCH("Completed Behind Schedule",D3)))</formula>
    </cfRule>
    <cfRule type="containsText" dxfId="3940" priority="4249" operator="containsText" text="Off Target">
      <formula>NOT(ISERROR(SEARCH("Off Target",D3)))</formula>
    </cfRule>
    <cfRule type="containsText" dxfId="3939" priority="4250" operator="containsText" text="In Danger of Falling Behind Target">
      <formula>NOT(ISERROR(SEARCH("In Danger of Falling Behind Target",D3)))</formula>
    </cfRule>
    <cfRule type="containsText" dxfId="3938" priority="4251" operator="containsText" text="On Track to be Achieved">
      <formula>NOT(ISERROR(SEARCH("On Track to be Achieved",D3)))</formula>
    </cfRule>
    <cfRule type="containsText" dxfId="3937" priority="4252" operator="containsText" text="Fully Achieved">
      <formula>NOT(ISERROR(SEARCH("Fully Achieved",D3)))</formula>
    </cfRule>
    <cfRule type="containsText" dxfId="3936" priority="4253" operator="containsText" text="Fully Achieved">
      <formula>NOT(ISERROR(SEARCH("Fully Achieved",D3)))</formula>
    </cfRule>
    <cfRule type="containsText" dxfId="3935" priority="4254" operator="containsText" text="Fully Achieved">
      <formula>NOT(ISERROR(SEARCH("Fully Achieved",D3)))</formula>
    </cfRule>
    <cfRule type="containsText" dxfId="3934" priority="4255" operator="containsText" text="Deferred">
      <formula>NOT(ISERROR(SEARCH("Deferred",D3)))</formula>
    </cfRule>
    <cfRule type="containsText" dxfId="3933" priority="4256" operator="containsText" text="Deleted">
      <formula>NOT(ISERROR(SEARCH("Deleted",D3)))</formula>
    </cfRule>
    <cfRule type="containsText" dxfId="3932" priority="4257" operator="containsText" text="In Danger of Falling Behind Target">
      <formula>NOT(ISERROR(SEARCH("In Danger of Falling Behind Target",D3)))</formula>
    </cfRule>
    <cfRule type="containsText" dxfId="3931" priority="4258" operator="containsText" text="Not yet due">
      <formula>NOT(ISERROR(SEARCH("Not yet due",D3)))</formula>
    </cfRule>
    <cfRule type="containsText" dxfId="3930" priority="4259" operator="containsText" text="Update not Provided">
      <formula>NOT(ISERROR(SEARCH("Update not Provided",D3)))</formula>
    </cfRule>
  </conditionalFormatting>
  <conditionalFormatting sqref="Y4:Y5">
    <cfRule type="containsText" dxfId="3929" priority="4182" operator="containsText" text="On track to be achieved">
      <formula>NOT(ISERROR(SEARCH("On track to be achieved",Y4)))</formula>
    </cfRule>
    <cfRule type="containsText" dxfId="3928" priority="4183" operator="containsText" text="Deferred">
      <formula>NOT(ISERROR(SEARCH("Deferred",Y4)))</formula>
    </cfRule>
    <cfRule type="containsText" dxfId="3927" priority="4184" operator="containsText" text="Deleted">
      <formula>NOT(ISERROR(SEARCH("Deleted",Y4)))</formula>
    </cfRule>
    <cfRule type="containsText" dxfId="3926" priority="4185" operator="containsText" text="In Danger of Falling Behind Target">
      <formula>NOT(ISERROR(SEARCH("In Danger of Falling Behind Target",Y4)))</formula>
    </cfRule>
    <cfRule type="containsText" dxfId="3925" priority="4186" operator="containsText" text="Not yet due">
      <formula>NOT(ISERROR(SEARCH("Not yet due",Y4)))</formula>
    </cfRule>
    <cfRule type="containsText" dxfId="3924" priority="4187" operator="containsText" text="Update not Provided">
      <formula>NOT(ISERROR(SEARCH("Update not Provided",Y4)))</formula>
    </cfRule>
    <cfRule type="containsText" dxfId="3923" priority="4188" operator="containsText" text="Not yet due">
      <formula>NOT(ISERROR(SEARCH("Not yet due",Y4)))</formula>
    </cfRule>
    <cfRule type="containsText" dxfId="3922" priority="4189" operator="containsText" text="Completed Behind Schedule">
      <formula>NOT(ISERROR(SEARCH("Completed Behind Schedule",Y4)))</formula>
    </cfRule>
    <cfRule type="containsText" dxfId="3921" priority="4190" operator="containsText" text="Off Target">
      <formula>NOT(ISERROR(SEARCH("Off Target",Y4)))</formula>
    </cfRule>
    <cfRule type="containsText" dxfId="3920" priority="4191" operator="containsText" text="On Track to be Achieved">
      <formula>NOT(ISERROR(SEARCH("On Track to be Achieved",Y4)))</formula>
    </cfRule>
    <cfRule type="containsText" dxfId="3919" priority="4192" operator="containsText" text="Fully Achieved">
      <formula>NOT(ISERROR(SEARCH("Fully Achieved",Y4)))</formula>
    </cfRule>
    <cfRule type="containsText" dxfId="3918" priority="4193" operator="containsText" text="Not yet due">
      <formula>NOT(ISERROR(SEARCH("Not yet due",Y4)))</formula>
    </cfRule>
    <cfRule type="containsText" dxfId="3917" priority="4194" operator="containsText" text="Not Yet Due">
      <formula>NOT(ISERROR(SEARCH("Not Yet Due",Y4)))</formula>
    </cfRule>
    <cfRule type="containsText" dxfId="3916" priority="4195" operator="containsText" text="Deferred">
      <formula>NOT(ISERROR(SEARCH("Deferred",Y4)))</formula>
    </cfRule>
    <cfRule type="containsText" dxfId="3915" priority="4196" operator="containsText" text="Deleted">
      <formula>NOT(ISERROR(SEARCH("Deleted",Y4)))</formula>
    </cfRule>
    <cfRule type="containsText" dxfId="3914" priority="4197" operator="containsText" text="In Danger of Falling Behind Target">
      <formula>NOT(ISERROR(SEARCH("In Danger of Falling Behind Target",Y4)))</formula>
    </cfRule>
    <cfRule type="containsText" dxfId="3913" priority="4198" operator="containsText" text="Not yet due">
      <formula>NOT(ISERROR(SEARCH("Not yet due",Y4)))</formula>
    </cfRule>
    <cfRule type="containsText" dxfId="3912" priority="4199" operator="containsText" text="Completed Behind Schedule">
      <formula>NOT(ISERROR(SEARCH("Completed Behind Schedule",Y4)))</formula>
    </cfRule>
    <cfRule type="containsText" dxfId="3911" priority="4200" operator="containsText" text="Off Target">
      <formula>NOT(ISERROR(SEARCH("Off Target",Y4)))</formula>
    </cfRule>
    <cfRule type="containsText" dxfId="3910" priority="4201" operator="containsText" text="In Danger of Falling Behind Target">
      <formula>NOT(ISERROR(SEARCH("In Danger of Falling Behind Target",Y4)))</formula>
    </cfRule>
    <cfRule type="containsText" dxfId="3909" priority="4202" operator="containsText" text="On Track to be Achieved">
      <formula>NOT(ISERROR(SEARCH("On Track to be Achieved",Y4)))</formula>
    </cfRule>
    <cfRule type="containsText" dxfId="3908" priority="4203" operator="containsText" text="Fully Achieved">
      <formula>NOT(ISERROR(SEARCH("Fully Achieved",Y4)))</formula>
    </cfRule>
    <cfRule type="containsText" dxfId="3907" priority="4204" operator="containsText" text="Update not Provided">
      <formula>NOT(ISERROR(SEARCH("Update not Provided",Y4)))</formula>
    </cfRule>
    <cfRule type="containsText" dxfId="3906" priority="4205" operator="containsText" text="Not yet due">
      <formula>NOT(ISERROR(SEARCH("Not yet due",Y4)))</formula>
    </cfRule>
    <cfRule type="containsText" dxfId="3905" priority="4206" operator="containsText" text="Completed Behind Schedule">
      <formula>NOT(ISERROR(SEARCH("Completed Behind Schedule",Y4)))</formula>
    </cfRule>
    <cfRule type="containsText" dxfId="3904" priority="4207" operator="containsText" text="Off Target">
      <formula>NOT(ISERROR(SEARCH("Off Target",Y4)))</formula>
    </cfRule>
    <cfRule type="containsText" dxfId="3903" priority="4208" operator="containsText" text="In Danger of Falling Behind Target">
      <formula>NOT(ISERROR(SEARCH("In Danger of Falling Behind Target",Y4)))</formula>
    </cfRule>
    <cfRule type="containsText" dxfId="3902" priority="4209" operator="containsText" text="On Track to be Achieved">
      <formula>NOT(ISERROR(SEARCH("On Track to be Achieved",Y4)))</formula>
    </cfRule>
    <cfRule type="containsText" dxfId="3901" priority="4210" operator="containsText" text="Fully Achieved">
      <formula>NOT(ISERROR(SEARCH("Fully Achieved",Y4)))</formula>
    </cfRule>
    <cfRule type="containsText" dxfId="3900" priority="4211" operator="containsText" text="Fully Achieved">
      <formula>NOT(ISERROR(SEARCH("Fully Achieved",Y4)))</formula>
    </cfRule>
    <cfRule type="containsText" dxfId="3899" priority="4212" operator="containsText" text="Fully Achieved">
      <formula>NOT(ISERROR(SEARCH("Fully Achieved",Y4)))</formula>
    </cfRule>
    <cfRule type="containsText" dxfId="3898" priority="4213" operator="containsText" text="Deferred">
      <formula>NOT(ISERROR(SEARCH("Deferred",Y4)))</formula>
    </cfRule>
    <cfRule type="containsText" dxfId="3897" priority="4214" operator="containsText" text="Deleted">
      <formula>NOT(ISERROR(SEARCH("Deleted",Y4)))</formula>
    </cfRule>
    <cfRule type="containsText" dxfId="3896" priority="4215" operator="containsText" text="In Danger of Falling Behind Target">
      <formula>NOT(ISERROR(SEARCH("In Danger of Falling Behind Target",Y4)))</formula>
    </cfRule>
    <cfRule type="containsText" dxfId="3895" priority="4216" operator="containsText" text="Not yet due">
      <formula>NOT(ISERROR(SEARCH("Not yet due",Y4)))</formula>
    </cfRule>
    <cfRule type="containsText" dxfId="3894" priority="4217" operator="containsText" text="Update not Provided">
      <formula>NOT(ISERROR(SEARCH("Update not Provided",Y4)))</formula>
    </cfRule>
  </conditionalFormatting>
  <conditionalFormatting sqref="G42">
    <cfRule type="containsText" dxfId="3893" priority="4146" operator="containsText" text="On track to be achieved">
      <formula>NOT(ISERROR(SEARCH("On track to be achieved",G42)))</formula>
    </cfRule>
    <cfRule type="containsText" dxfId="3892" priority="4147" operator="containsText" text="Deferred">
      <formula>NOT(ISERROR(SEARCH("Deferred",G42)))</formula>
    </cfRule>
    <cfRule type="containsText" dxfId="3891" priority="4148" operator="containsText" text="Deleted">
      <formula>NOT(ISERROR(SEARCH("Deleted",G42)))</formula>
    </cfRule>
    <cfRule type="containsText" dxfId="3890" priority="4149" operator="containsText" text="In Danger of Falling Behind Target">
      <formula>NOT(ISERROR(SEARCH("In Danger of Falling Behind Target",G42)))</formula>
    </cfRule>
    <cfRule type="containsText" dxfId="3889" priority="4150" operator="containsText" text="Not yet due">
      <formula>NOT(ISERROR(SEARCH("Not yet due",G42)))</formula>
    </cfRule>
    <cfRule type="containsText" dxfId="3888" priority="4151" operator="containsText" text="Update not Provided">
      <formula>NOT(ISERROR(SEARCH("Update not Provided",G42)))</formula>
    </cfRule>
    <cfRule type="containsText" dxfId="3887" priority="4152" operator="containsText" text="Not yet due">
      <formula>NOT(ISERROR(SEARCH("Not yet due",G42)))</formula>
    </cfRule>
    <cfRule type="containsText" dxfId="3886" priority="4153" operator="containsText" text="Completed Behind Schedule">
      <formula>NOT(ISERROR(SEARCH("Completed Behind Schedule",G42)))</formula>
    </cfRule>
    <cfRule type="containsText" dxfId="3885" priority="4154" operator="containsText" text="Off Target">
      <formula>NOT(ISERROR(SEARCH("Off Target",G42)))</formula>
    </cfRule>
    <cfRule type="containsText" dxfId="3884" priority="4155" operator="containsText" text="On Track to be Achieved">
      <formula>NOT(ISERROR(SEARCH("On Track to be Achieved",G42)))</formula>
    </cfRule>
    <cfRule type="containsText" dxfId="3883" priority="4156" operator="containsText" text="Fully Achieved">
      <formula>NOT(ISERROR(SEARCH("Fully Achieved",G42)))</formula>
    </cfRule>
    <cfRule type="containsText" dxfId="3882" priority="4157" operator="containsText" text="Not yet due">
      <formula>NOT(ISERROR(SEARCH("Not yet due",G42)))</formula>
    </cfRule>
    <cfRule type="containsText" dxfId="3881" priority="4158" operator="containsText" text="Not Yet Due">
      <formula>NOT(ISERROR(SEARCH("Not Yet Due",G42)))</formula>
    </cfRule>
    <cfRule type="containsText" dxfId="3880" priority="4159" operator="containsText" text="Deferred">
      <formula>NOT(ISERROR(SEARCH("Deferred",G42)))</formula>
    </cfRule>
    <cfRule type="containsText" dxfId="3879" priority="4160" operator="containsText" text="Deleted">
      <formula>NOT(ISERROR(SEARCH("Deleted",G42)))</formula>
    </cfRule>
    <cfRule type="containsText" dxfId="3878" priority="4161" operator="containsText" text="In Danger of Falling Behind Target">
      <formula>NOT(ISERROR(SEARCH("In Danger of Falling Behind Target",G42)))</formula>
    </cfRule>
    <cfRule type="containsText" dxfId="3877" priority="4162" operator="containsText" text="Not yet due">
      <formula>NOT(ISERROR(SEARCH("Not yet due",G42)))</formula>
    </cfRule>
    <cfRule type="containsText" dxfId="3876" priority="4163" operator="containsText" text="Completed Behind Schedule">
      <formula>NOT(ISERROR(SEARCH("Completed Behind Schedule",G42)))</formula>
    </cfRule>
    <cfRule type="containsText" dxfId="3875" priority="4164" operator="containsText" text="Off Target">
      <formula>NOT(ISERROR(SEARCH("Off Target",G42)))</formula>
    </cfRule>
    <cfRule type="containsText" dxfId="3874" priority="4165" operator="containsText" text="In Danger of Falling Behind Target">
      <formula>NOT(ISERROR(SEARCH("In Danger of Falling Behind Target",G42)))</formula>
    </cfRule>
    <cfRule type="containsText" dxfId="3873" priority="4166" operator="containsText" text="On Track to be Achieved">
      <formula>NOT(ISERROR(SEARCH("On Track to be Achieved",G42)))</formula>
    </cfRule>
    <cfRule type="containsText" dxfId="3872" priority="4167" operator="containsText" text="Fully Achieved">
      <formula>NOT(ISERROR(SEARCH("Fully Achieved",G42)))</formula>
    </cfRule>
    <cfRule type="containsText" dxfId="3871" priority="4168" operator="containsText" text="Update not Provided">
      <formula>NOT(ISERROR(SEARCH("Update not Provided",G42)))</formula>
    </cfRule>
    <cfRule type="containsText" dxfId="3870" priority="4169" operator="containsText" text="Not yet due">
      <formula>NOT(ISERROR(SEARCH("Not yet due",G42)))</formula>
    </cfRule>
    <cfRule type="containsText" dxfId="3869" priority="4170" operator="containsText" text="Completed Behind Schedule">
      <formula>NOT(ISERROR(SEARCH("Completed Behind Schedule",G42)))</formula>
    </cfRule>
    <cfRule type="containsText" dxfId="3868" priority="4171" operator="containsText" text="Off Target">
      <formula>NOT(ISERROR(SEARCH("Off Target",G42)))</formula>
    </cfRule>
    <cfRule type="containsText" dxfId="3867" priority="4172" operator="containsText" text="In Danger of Falling Behind Target">
      <formula>NOT(ISERROR(SEARCH("In Danger of Falling Behind Target",G42)))</formula>
    </cfRule>
    <cfRule type="containsText" dxfId="3866" priority="4173" operator="containsText" text="On Track to be Achieved">
      <formula>NOT(ISERROR(SEARCH("On Track to be Achieved",G42)))</formula>
    </cfRule>
    <cfRule type="containsText" dxfId="3865" priority="4174" operator="containsText" text="Fully Achieved">
      <formula>NOT(ISERROR(SEARCH("Fully Achieved",G42)))</formula>
    </cfRule>
    <cfRule type="containsText" dxfId="3864" priority="4175" operator="containsText" text="Fully Achieved">
      <formula>NOT(ISERROR(SEARCH("Fully Achieved",G42)))</formula>
    </cfRule>
    <cfRule type="containsText" dxfId="3863" priority="4176" operator="containsText" text="Fully Achieved">
      <formula>NOT(ISERROR(SEARCH("Fully Achieved",G42)))</formula>
    </cfRule>
    <cfRule type="containsText" dxfId="3862" priority="4177" operator="containsText" text="Deferred">
      <formula>NOT(ISERROR(SEARCH("Deferred",G42)))</formula>
    </cfRule>
    <cfRule type="containsText" dxfId="3861" priority="4178" operator="containsText" text="Deleted">
      <formula>NOT(ISERROR(SEARCH("Deleted",G42)))</formula>
    </cfRule>
    <cfRule type="containsText" dxfId="3860" priority="4179" operator="containsText" text="In Danger of Falling Behind Target">
      <formula>NOT(ISERROR(SEARCH("In Danger of Falling Behind Target",G42)))</formula>
    </cfRule>
    <cfRule type="containsText" dxfId="3859" priority="4180" operator="containsText" text="Not yet due">
      <formula>NOT(ISERROR(SEARCH("Not yet due",G42)))</formula>
    </cfRule>
    <cfRule type="containsText" dxfId="3858" priority="4181" operator="containsText" text="Update not Provided">
      <formula>NOT(ISERROR(SEARCH("Update not Provided",G42)))</formula>
    </cfRule>
  </conditionalFormatting>
  <conditionalFormatting sqref="G50 G54">
    <cfRule type="containsText" dxfId="3857" priority="4110" operator="containsText" text="On track to be achieved">
      <formula>NOT(ISERROR(SEARCH("On track to be achieved",G50)))</formula>
    </cfRule>
    <cfRule type="containsText" dxfId="3856" priority="4111" operator="containsText" text="Deferred">
      <formula>NOT(ISERROR(SEARCH("Deferred",G50)))</formula>
    </cfRule>
    <cfRule type="containsText" dxfId="3855" priority="4112" operator="containsText" text="Deleted">
      <formula>NOT(ISERROR(SEARCH("Deleted",G50)))</formula>
    </cfRule>
    <cfRule type="containsText" dxfId="3854" priority="4113" operator="containsText" text="In Danger of Falling Behind Target">
      <formula>NOT(ISERROR(SEARCH("In Danger of Falling Behind Target",G50)))</formula>
    </cfRule>
    <cfRule type="containsText" dxfId="3853" priority="4114" operator="containsText" text="Not yet due">
      <formula>NOT(ISERROR(SEARCH("Not yet due",G50)))</formula>
    </cfRule>
    <cfRule type="containsText" dxfId="3852" priority="4115" operator="containsText" text="Update not Provided">
      <formula>NOT(ISERROR(SEARCH("Update not Provided",G50)))</formula>
    </cfRule>
    <cfRule type="containsText" dxfId="3851" priority="4116" operator="containsText" text="Not yet due">
      <formula>NOT(ISERROR(SEARCH("Not yet due",G50)))</formula>
    </cfRule>
    <cfRule type="containsText" dxfId="3850" priority="4117" operator="containsText" text="Completed Behind Schedule">
      <formula>NOT(ISERROR(SEARCH("Completed Behind Schedule",G50)))</formula>
    </cfRule>
    <cfRule type="containsText" dxfId="3849" priority="4118" operator="containsText" text="Off Target">
      <formula>NOT(ISERROR(SEARCH("Off Target",G50)))</formula>
    </cfRule>
    <cfRule type="containsText" dxfId="3848" priority="4119" operator="containsText" text="On Track to be Achieved">
      <formula>NOT(ISERROR(SEARCH("On Track to be Achieved",G50)))</formula>
    </cfRule>
    <cfRule type="containsText" dxfId="3847" priority="4120" operator="containsText" text="Fully Achieved">
      <formula>NOT(ISERROR(SEARCH("Fully Achieved",G50)))</formula>
    </cfRule>
    <cfRule type="containsText" dxfId="3846" priority="4121" operator="containsText" text="Not yet due">
      <formula>NOT(ISERROR(SEARCH("Not yet due",G50)))</formula>
    </cfRule>
    <cfRule type="containsText" dxfId="3845" priority="4122" operator="containsText" text="Not Yet Due">
      <formula>NOT(ISERROR(SEARCH("Not Yet Due",G50)))</formula>
    </cfRule>
    <cfRule type="containsText" dxfId="3844" priority="4123" operator="containsText" text="Deferred">
      <formula>NOT(ISERROR(SEARCH("Deferred",G50)))</formula>
    </cfRule>
    <cfRule type="containsText" dxfId="3843" priority="4124" operator="containsText" text="Deleted">
      <formula>NOT(ISERROR(SEARCH("Deleted",G50)))</formula>
    </cfRule>
    <cfRule type="containsText" dxfId="3842" priority="4125" operator="containsText" text="In Danger of Falling Behind Target">
      <formula>NOT(ISERROR(SEARCH("In Danger of Falling Behind Target",G50)))</formula>
    </cfRule>
    <cfRule type="containsText" dxfId="3841" priority="4126" operator="containsText" text="Not yet due">
      <formula>NOT(ISERROR(SEARCH("Not yet due",G50)))</formula>
    </cfRule>
    <cfRule type="containsText" dxfId="3840" priority="4127" operator="containsText" text="Completed Behind Schedule">
      <formula>NOT(ISERROR(SEARCH("Completed Behind Schedule",G50)))</formula>
    </cfRule>
    <cfRule type="containsText" dxfId="3839" priority="4128" operator="containsText" text="Off Target">
      <formula>NOT(ISERROR(SEARCH("Off Target",G50)))</formula>
    </cfRule>
    <cfRule type="containsText" dxfId="3838" priority="4129" operator="containsText" text="In Danger of Falling Behind Target">
      <formula>NOT(ISERROR(SEARCH("In Danger of Falling Behind Target",G50)))</formula>
    </cfRule>
    <cfRule type="containsText" dxfId="3837" priority="4130" operator="containsText" text="On Track to be Achieved">
      <formula>NOT(ISERROR(SEARCH("On Track to be Achieved",G50)))</formula>
    </cfRule>
    <cfRule type="containsText" dxfId="3836" priority="4131" operator="containsText" text="Fully Achieved">
      <formula>NOT(ISERROR(SEARCH("Fully Achieved",G50)))</formula>
    </cfRule>
    <cfRule type="containsText" dxfId="3835" priority="4132" operator="containsText" text="Update not Provided">
      <formula>NOT(ISERROR(SEARCH("Update not Provided",G50)))</formula>
    </cfRule>
    <cfRule type="containsText" dxfId="3834" priority="4133" operator="containsText" text="Not yet due">
      <formula>NOT(ISERROR(SEARCH("Not yet due",G50)))</formula>
    </cfRule>
    <cfRule type="containsText" dxfId="3833" priority="4134" operator="containsText" text="Completed Behind Schedule">
      <formula>NOT(ISERROR(SEARCH("Completed Behind Schedule",G50)))</formula>
    </cfRule>
    <cfRule type="containsText" dxfId="3832" priority="4135" operator="containsText" text="Off Target">
      <formula>NOT(ISERROR(SEARCH("Off Target",G50)))</formula>
    </cfRule>
    <cfRule type="containsText" dxfId="3831" priority="4136" operator="containsText" text="In Danger of Falling Behind Target">
      <formula>NOT(ISERROR(SEARCH("In Danger of Falling Behind Target",G50)))</formula>
    </cfRule>
    <cfRule type="containsText" dxfId="3830" priority="4137" operator="containsText" text="On Track to be Achieved">
      <formula>NOT(ISERROR(SEARCH("On Track to be Achieved",G50)))</formula>
    </cfRule>
    <cfRule type="containsText" dxfId="3829" priority="4138" operator="containsText" text="Fully Achieved">
      <formula>NOT(ISERROR(SEARCH("Fully Achieved",G50)))</formula>
    </cfRule>
    <cfRule type="containsText" dxfId="3828" priority="4139" operator="containsText" text="Fully Achieved">
      <formula>NOT(ISERROR(SEARCH("Fully Achieved",G50)))</formula>
    </cfRule>
    <cfRule type="containsText" dxfId="3827" priority="4140" operator="containsText" text="Fully Achieved">
      <formula>NOT(ISERROR(SEARCH("Fully Achieved",G50)))</formula>
    </cfRule>
    <cfRule type="containsText" dxfId="3826" priority="4141" operator="containsText" text="Deferred">
      <formula>NOT(ISERROR(SEARCH("Deferred",G50)))</formula>
    </cfRule>
    <cfRule type="containsText" dxfId="3825" priority="4142" operator="containsText" text="Deleted">
      <formula>NOT(ISERROR(SEARCH("Deleted",G50)))</formula>
    </cfRule>
    <cfRule type="containsText" dxfId="3824" priority="4143" operator="containsText" text="In Danger of Falling Behind Target">
      <formula>NOT(ISERROR(SEARCH("In Danger of Falling Behind Target",G50)))</formula>
    </cfRule>
    <cfRule type="containsText" dxfId="3823" priority="4144" operator="containsText" text="Not yet due">
      <formula>NOT(ISERROR(SEARCH("Not yet due",G50)))</formula>
    </cfRule>
    <cfRule type="containsText" dxfId="3822" priority="4145" operator="containsText" text="Update not Provided">
      <formula>NOT(ISERROR(SEARCH("Update not Provided",G50)))</formula>
    </cfRule>
  </conditionalFormatting>
  <conditionalFormatting sqref="G61">
    <cfRule type="containsText" dxfId="3821" priority="4074" operator="containsText" text="On track to be achieved">
      <formula>NOT(ISERROR(SEARCH("On track to be achieved",G61)))</formula>
    </cfRule>
    <cfRule type="containsText" dxfId="3820" priority="4075" operator="containsText" text="Deferred">
      <formula>NOT(ISERROR(SEARCH("Deferred",G61)))</formula>
    </cfRule>
    <cfRule type="containsText" dxfId="3819" priority="4076" operator="containsText" text="Deleted">
      <formula>NOT(ISERROR(SEARCH("Deleted",G61)))</formula>
    </cfRule>
    <cfRule type="containsText" dxfId="3818" priority="4077" operator="containsText" text="In Danger of Falling Behind Target">
      <formula>NOT(ISERROR(SEARCH("In Danger of Falling Behind Target",G61)))</formula>
    </cfRule>
    <cfRule type="containsText" dxfId="3817" priority="4078" operator="containsText" text="Not yet due">
      <formula>NOT(ISERROR(SEARCH("Not yet due",G61)))</formula>
    </cfRule>
    <cfRule type="containsText" dxfId="3816" priority="4079" operator="containsText" text="Update not Provided">
      <formula>NOT(ISERROR(SEARCH("Update not Provided",G61)))</formula>
    </cfRule>
    <cfRule type="containsText" dxfId="3815" priority="4080" operator="containsText" text="Not yet due">
      <formula>NOT(ISERROR(SEARCH("Not yet due",G61)))</formula>
    </cfRule>
    <cfRule type="containsText" dxfId="3814" priority="4081" operator="containsText" text="Completed Behind Schedule">
      <formula>NOT(ISERROR(SEARCH("Completed Behind Schedule",G61)))</formula>
    </cfRule>
    <cfRule type="containsText" dxfId="3813" priority="4082" operator="containsText" text="Off Target">
      <formula>NOT(ISERROR(SEARCH("Off Target",G61)))</formula>
    </cfRule>
    <cfRule type="containsText" dxfId="3812" priority="4083" operator="containsText" text="On Track to be Achieved">
      <formula>NOT(ISERROR(SEARCH("On Track to be Achieved",G61)))</formula>
    </cfRule>
    <cfRule type="containsText" dxfId="3811" priority="4084" operator="containsText" text="Fully Achieved">
      <formula>NOT(ISERROR(SEARCH("Fully Achieved",G61)))</formula>
    </cfRule>
    <cfRule type="containsText" dxfId="3810" priority="4085" operator="containsText" text="Not yet due">
      <formula>NOT(ISERROR(SEARCH("Not yet due",G61)))</formula>
    </cfRule>
    <cfRule type="containsText" dxfId="3809" priority="4086" operator="containsText" text="Not Yet Due">
      <formula>NOT(ISERROR(SEARCH("Not Yet Due",G61)))</formula>
    </cfRule>
    <cfRule type="containsText" dxfId="3808" priority="4087" operator="containsText" text="Deferred">
      <formula>NOT(ISERROR(SEARCH("Deferred",G61)))</formula>
    </cfRule>
    <cfRule type="containsText" dxfId="3807" priority="4088" operator="containsText" text="Deleted">
      <formula>NOT(ISERROR(SEARCH("Deleted",G61)))</formula>
    </cfRule>
    <cfRule type="containsText" dxfId="3806" priority="4089" operator="containsText" text="In Danger of Falling Behind Target">
      <formula>NOT(ISERROR(SEARCH("In Danger of Falling Behind Target",G61)))</formula>
    </cfRule>
    <cfRule type="containsText" dxfId="3805" priority="4090" operator="containsText" text="Not yet due">
      <formula>NOT(ISERROR(SEARCH("Not yet due",G61)))</formula>
    </cfRule>
    <cfRule type="containsText" dxfId="3804" priority="4091" operator="containsText" text="Completed Behind Schedule">
      <formula>NOT(ISERROR(SEARCH("Completed Behind Schedule",G61)))</formula>
    </cfRule>
    <cfRule type="containsText" dxfId="3803" priority="4092" operator="containsText" text="Off Target">
      <formula>NOT(ISERROR(SEARCH("Off Target",G61)))</formula>
    </cfRule>
    <cfRule type="containsText" dxfId="3802" priority="4093" operator="containsText" text="In Danger of Falling Behind Target">
      <formula>NOT(ISERROR(SEARCH("In Danger of Falling Behind Target",G61)))</formula>
    </cfRule>
    <cfRule type="containsText" dxfId="3801" priority="4094" operator="containsText" text="On Track to be Achieved">
      <formula>NOT(ISERROR(SEARCH("On Track to be Achieved",G61)))</formula>
    </cfRule>
    <cfRule type="containsText" dxfId="3800" priority="4095" operator="containsText" text="Fully Achieved">
      <formula>NOT(ISERROR(SEARCH("Fully Achieved",G61)))</formula>
    </cfRule>
    <cfRule type="containsText" dxfId="3799" priority="4096" operator="containsText" text="Update not Provided">
      <formula>NOT(ISERROR(SEARCH("Update not Provided",G61)))</formula>
    </cfRule>
    <cfRule type="containsText" dxfId="3798" priority="4097" operator="containsText" text="Not yet due">
      <formula>NOT(ISERROR(SEARCH("Not yet due",G61)))</formula>
    </cfRule>
    <cfRule type="containsText" dxfId="3797" priority="4098" operator="containsText" text="Completed Behind Schedule">
      <formula>NOT(ISERROR(SEARCH("Completed Behind Schedule",G61)))</formula>
    </cfRule>
    <cfRule type="containsText" dxfId="3796" priority="4099" operator="containsText" text="Off Target">
      <formula>NOT(ISERROR(SEARCH("Off Target",G61)))</formula>
    </cfRule>
    <cfRule type="containsText" dxfId="3795" priority="4100" operator="containsText" text="In Danger of Falling Behind Target">
      <formula>NOT(ISERROR(SEARCH("In Danger of Falling Behind Target",G61)))</formula>
    </cfRule>
    <cfRule type="containsText" dxfId="3794" priority="4101" operator="containsText" text="On Track to be Achieved">
      <formula>NOT(ISERROR(SEARCH("On Track to be Achieved",G61)))</formula>
    </cfRule>
    <cfRule type="containsText" dxfId="3793" priority="4102" operator="containsText" text="Fully Achieved">
      <formula>NOT(ISERROR(SEARCH("Fully Achieved",G61)))</formula>
    </cfRule>
    <cfRule type="containsText" dxfId="3792" priority="4103" operator="containsText" text="Fully Achieved">
      <formula>NOT(ISERROR(SEARCH("Fully Achieved",G61)))</formula>
    </cfRule>
    <cfRule type="containsText" dxfId="3791" priority="4104" operator="containsText" text="Fully Achieved">
      <formula>NOT(ISERROR(SEARCH("Fully Achieved",G61)))</formula>
    </cfRule>
    <cfRule type="containsText" dxfId="3790" priority="4105" operator="containsText" text="Deferred">
      <formula>NOT(ISERROR(SEARCH("Deferred",G61)))</formula>
    </cfRule>
    <cfRule type="containsText" dxfId="3789" priority="4106" operator="containsText" text="Deleted">
      <formula>NOT(ISERROR(SEARCH("Deleted",G61)))</formula>
    </cfRule>
    <cfRule type="containsText" dxfId="3788" priority="4107" operator="containsText" text="In Danger of Falling Behind Target">
      <formula>NOT(ISERROR(SEARCH("In Danger of Falling Behind Target",G61)))</formula>
    </cfRule>
    <cfRule type="containsText" dxfId="3787" priority="4108" operator="containsText" text="Not yet due">
      <formula>NOT(ISERROR(SEARCH("Not yet due",G61)))</formula>
    </cfRule>
    <cfRule type="containsText" dxfId="3786" priority="4109" operator="containsText" text="Update not Provided">
      <formula>NOT(ISERROR(SEARCH("Update not Provided",G61)))</formula>
    </cfRule>
  </conditionalFormatting>
  <conditionalFormatting sqref="G69:G71">
    <cfRule type="containsText" dxfId="3785" priority="4038" operator="containsText" text="On track to be achieved">
      <formula>NOT(ISERROR(SEARCH("On track to be achieved",G69)))</formula>
    </cfRule>
    <cfRule type="containsText" dxfId="3784" priority="4039" operator="containsText" text="Deferred">
      <formula>NOT(ISERROR(SEARCH("Deferred",G69)))</formula>
    </cfRule>
    <cfRule type="containsText" dxfId="3783" priority="4040" operator="containsText" text="Deleted">
      <formula>NOT(ISERROR(SEARCH("Deleted",G69)))</formula>
    </cfRule>
    <cfRule type="containsText" dxfId="3782" priority="4041" operator="containsText" text="In Danger of Falling Behind Target">
      <formula>NOT(ISERROR(SEARCH("In Danger of Falling Behind Target",G69)))</formula>
    </cfRule>
    <cfRule type="containsText" dxfId="3781" priority="4042" operator="containsText" text="Not yet due">
      <formula>NOT(ISERROR(SEARCH("Not yet due",G69)))</formula>
    </cfRule>
    <cfRule type="containsText" dxfId="3780" priority="4043" operator="containsText" text="Update not Provided">
      <formula>NOT(ISERROR(SEARCH("Update not Provided",G69)))</formula>
    </cfRule>
    <cfRule type="containsText" dxfId="3779" priority="4044" operator="containsText" text="Not yet due">
      <formula>NOT(ISERROR(SEARCH("Not yet due",G69)))</formula>
    </cfRule>
    <cfRule type="containsText" dxfId="3778" priority="4045" operator="containsText" text="Completed Behind Schedule">
      <formula>NOT(ISERROR(SEARCH("Completed Behind Schedule",G69)))</formula>
    </cfRule>
    <cfRule type="containsText" dxfId="3777" priority="4046" operator="containsText" text="Off Target">
      <formula>NOT(ISERROR(SEARCH("Off Target",G69)))</formula>
    </cfRule>
    <cfRule type="containsText" dxfId="3776" priority="4047" operator="containsText" text="On Track to be Achieved">
      <formula>NOT(ISERROR(SEARCH("On Track to be Achieved",G69)))</formula>
    </cfRule>
    <cfRule type="containsText" dxfId="3775" priority="4048" operator="containsText" text="Fully Achieved">
      <formula>NOT(ISERROR(SEARCH("Fully Achieved",G69)))</formula>
    </cfRule>
    <cfRule type="containsText" dxfId="3774" priority="4049" operator="containsText" text="Not yet due">
      <formula>NOT(ISERROR(SEARCH("Not yet due",G69)))</formula>
    </cfRule>
    <cfRule type="containsText" dxfId="3773" priority="4050" operator="containsText" text="Not Yet Due">
      <formula>NOT(ISERROR(SEARCH("Not Yet Due",G69)))</formula>
    </cfRule>
    <cfRule type="containsText" dxfId="3772" priority="4051" operator="containsText" text="Deferred">
      <formula>NOT(ISERROR(SEARCH("Deferred",G69)))</formula>
    </cfRule>
    <cfRule type="containsText" dxfId="3771" priority="4052" operator="containsText" text="Deleted">
      <formula>NOT(ISERROR(SEARCH("Deleted",G69)))</formula>
    </cfRule>
    <cfRule type="containsText" dxfId="3770" priority="4053" operator="containsText" text="In Danger of Falling Behind Target">
      <formula>NOT(ISERROR(SEARCH("In Danger of Falling Behind Target",G69)))</formula>
    </cfRule>
    <cfRule type="containsText" dxfId="3769" priority="4054" operator="containsText" text="Not yet due">
      <formula>NOT(ISERROR(SEARCH("Not yet due",G69)))</formula>
    </cfRule>
    <cfRule type="containsText" dxfId="3768" priority="4055" operator="containsText" text="Completed Behind Schedule">
      <formula>NOT(ISERROR(SEARCH("Completed Behind Schedule",G69)))</formula>
    </cfRule>
    <cfRule type="containsText" dxfId="3767" priority="4056" operator="containsText" text="Off Target">
      <formula>NOT(ISERROR(SEARCH("Off Target",G69)))</formula>
    </cfRule>
    <cfRule type="containsText" dxfId="3766" priority="4057" operator="containsText" text="In Danger of Falling Behind Target">
      <formula>NOT(ISERROR(SEARCH("In Danger of Falling Behind Target",G69)))</formula>
    </cfRule>
    <cfRule type="containsText" dxfId="3765" priority="4058" operator="containsText" text="On Track to be Achieved">
      <formula>NOT(ISERROR(SEARCH("On Track to be Achieved",G69)))</formula>
    </cfRule>
    <cfRule type="containsText" dxfId="3764" priority="4059" operator="containsText" text="Fully Achieved">
      <formula>NOT(ISERROR(SEARCH("Fully Achieved",G69)))</formula>
    </cfRule>
    <cfRule type="containsText" dxfId="3763" priority="4060" operator="containsText" text="Update not Provided">
      <formula>NOT(ISERROR(SEARCH("Update not Provided",G69)))</formula>
    </cfRule>
    <cfRule type="containsText" dxfId="3762" priority="4061" operator="containsText" text="Not yet due">
      <formula>NOT(ISERROR(SEARCH("Not yet due",G69)))</formula>
    </cfRule>
    <cfRule type="containsText" dxfId="3761" priority="4062" operator="containsText" text="Completed Behind Schedule">
      <formula>NOT(ISERROR(SEARCH("Completed Behind Schedule",G69)))</formula>
    </cfRule>
    <cfRule type="containsText" dxfId="3760" priority="4063" operator="containsText" text="Off Target">
      <formula>NOT(ISERROR(SEARCH("Off Target",G69)))</formula>
    </cfRule>
    <cfRule type="containsText" dxfId="3759" priority="4064" operator="containsText" text="In Danger of Falling Behind Target">
      <formula>NOT(ISERROR(SEARCH("In Danger of Falling Behind Target",G69)))</formula>
    </cfRule>
    <cfRule type="containsText" dxfId="3758" priority="4065" operator="containsText" text="On Track to be Achieved">
      <formula>NOT(ISERROR(SEARCH("On Track to be Achieved",G69)))</formula>
    </cfRule>
    <cfRule type="containsText" dxfId="3757" priority="4066" operator="containsText" text="Fully Achieved">
      <formula>NOT(ISERROR(SEARCH("Fully Achieved",G69)))</formula>
    </cfRule>
    <cfRule type="containsText" dxfId="3756" priority="4067" operator="containsText" text="Fully Achieved">
      <formula>NOT(ISERROR(SEARCH("Fully Achieved",G69)))</formula>
    </cfRule>
    <cfRule type="containsText" dxfId="3755" priority="4068" operator="containsText" text="Fully Achieved">
      <formula>NOT(ISERROR(SEARCH("Fully Achieved",G69)))</formula>
    </cfRule>
    <cfRule type="containsText" dxfId="3754" priority="4069" operator="containsText" text="Deferred">
      <formula>NOT(ISERROR(SEARCH("Deferred",G69)))</formula>
    </cfRule>
    <cfRule type="containsText" dxfId="3753" priority="4070" operator="containsText" text="Deleted">
      <formula>NOT(ISERROR(SEARCH("Deleted",G69)))</formula>
    </cfRule>
    <cfRule type="containsText" dxfId="3752" priority="4071" operator="containsText" text="In Danger of Falling Behind Target">
      <formula>NOT(ISERROR(SEARCH("In Danger of Falling Behind Target",G69)))</formula>
    </cfRule>
    <cfRule type="containsText" dxfId="3751" priority="4072" operator="containsText" text="Not yet due">
      <formula>NOT(ISERROR(SEARCH("Not yet due",G69)))</formula>
    </cfRule>
    <cfRule type="containsText" dxfId="3750" priority="4073" operator="containsText" text="Update not Provided">
      <formula>NOT(ISERROR(SEARCH("Update not Provided",G69)))</formula>
    </cfRule>
  </conditionalFormatting>
  <conditionalFormatting sqref="G74">
    <cfRule type="containsText" dxfId="3749" priority="4002" operator="containsText" text="On track to be achieved">
      <formula>NOT(ISERROR(SEARCH("On track to be achieved",G74)))</formula>
    </cfRule>
    <cfRule type="containsText" dxfId="3748" priority="4003" operator="containsText" text="Deferred">
      <formula>NOT(ISERROR(SEARCH("Deferred",G74)))</formula>
    </cfRule>
    <cfRule type="containsText" dxfId="3747" priority="4004" operator="containsText" text="Deleted">
      <formula>NOT(ISERROR(SEARCH("Deleted",G74)))</formula>
    </cfRule>
    <cfRule type="containsText" dxfId="3746" priority="4005" operator="containsText" text="In Danger of Falling Behind Target">
      <formula>NOT(ISERROR(SEARCH("In Danger of Falling Behind Target",G74)))</formula>
    </cfRule>
    <cfRule type="containsText" dxfId="3745" priority="4006" operator="containsText" text="Not yet due">
      <formula>NOT(ISERROR(SEARCH("Not yet due",G74)))</formula>
    </cfRule>
    <cfRule type="containsText" dxfId="3744" priority="4007" operator="containsText" text="Update not Provided">
      <formula>NOT(ISERROR(SEARCH("Update not Provided",G74)))</formula>
    </cfRule>
    <cfRule type="containsText" dxfId="3743" priority="4008" operator="containsText" text="Not yet due">
      <formula>NOT(ISERROR(SEARCH("Not yet due",G74)))</formula>
    </cfRule>
    <cfRule type="containsText" dxfId="3742" priority="4009" operator="containsText" text="Completed Behind Schedule">
      <formula>NOT(ISERROR(SEARCH("Completed Behind Schedule",G74)))</formula>
    </cfRule>
    <cfRule type="containsText" dxfId="3741" priority="4010" operator="containsText" text="Off Target">
      <formula>NOT(ISERROR(SEARCH("Off Target",G74)))</formula>
    </cfRule>
    <cfRule type="containsText" dxfId="3740" priority="4011" operator="containsText" text="On Track to be Achieved">
      <formula>NOT(ISERROR(SEARCH("On Track to be Achieved",G74)))</formula>
    </cfRule>
    <cfRule type="containsText" dxfId="3739" priority="4012" operator="containsText" text="Fully Achieved">
      <formula>NOT(ISERROR(SEARCH("Fully Achieved",G74)))</formula>
    </cfRule>
    <cfRule type="containsText" dxfId="3738" priority="4013" operator="containsText" text="Not yet due">
      <formula>NOT(ISERROR(SEARCH("Not yet due",G74)))</formula>
    </cfRule>
    <cfRule type="containsText" dxfId="3737" priority="4014" operator="containsText" text="Not Yet Due">
      <formula>NOT(ISERROR(SEARCH("Not Yet Due",G74)))</formula>
    </cfRule>
    <cfRule type="containsText" dxfId="3736" priority="4015" operator="containsText" text="Deferred">
      <formula>NOT(ISERROR(SEARCH("Deferred",G74)))</formula>
    </cfRule>
    <cfRule type="containsText" dxfId="3735" priority="4016" operator="containsText" text="Deleted">
      <formula>NOT(ISERROR(SEARCH("Deleted",G74)))</formula>
    </cfRule>
    <cfRule type="containsText" dxfId="3734" priority="4017" operator="containsText" text="In Danger of Falling Behind Target">
      <formula>NOT(ISERROR(SEARCH("In Danger of Falling Behind Target",G74)))</formula>
    </cfRule>
    <cfRule type="containsText" dxfId="3733" priority="4018" operator="containsText" text="Not yet due">
      <formula>NOT(ISERROR(SEARCH("Not yet due",G74)))</formula>
    </cfRule>
    <cfRule type="containsText" dxfId="3732" priority="4019" operator="containsText" text="Completed Behind Schedule">
      <formula>NOT(ISERROR(SEARCH("Completed Behind Schedule",G74)))</formula>
    </cfRule>
    <cfRule type="containsText" dxfId="3731" priority="4020" operator="containsText" text="Off Target">
      <formula>NOT(ISERROR(SEARCH("Off Target",G74)))</formula>
    </cfRule>
    <cfRule type="containsText" dxfId="3730" priority="4021" operator="containsText" text="In Danger of Falling Behind Target">
      <formula>NOT(ISERROR(SEARCH("In Danger of Falling Behind Target",G74)))</formula>
    </cfRule>
    <cfRule type="containsText" dxfId="3729" priority="4022" operator="containsText" text="On Track to be Achieved">
      <formula>NOT(ISERROR(SEARCH("On Track to be Achieved",G74)))</formula>
    </cfRule>
    <cfRule type="containsText" dxfId="3728" priority="4023" operator="containsText" text="Fully Achieved">
      <formula>NOT(ISERROR(SEARCH("Fully Achieved",G74)))</formula>
    </cfRule>
    <cfRule type="containsText" dxfId="3727" priority="4024" operator="containsText" text="Update not Provided">
      <formula>NOT(ISERROR(SEARCH("Update not Provided",G74)))</formula>
    </cfRule>
    <cfRule type="containsText" dxfId="3726" priority="4025" operator="containsText" text="Not yet due">
      <formula>NOT(ISERROR(SEARCH("Not yet due",G74)))</formula>
    </cfRule>
    <cfRule type="containsText" dxfId="3725" priority="4026" operator="containsText" text="Completed Behind Schedule">
      <formula>NOT(ISERROR(SEARCH("Completed Behind Schedule",G74)))</formula>
    </cfRule>
    <cfRule type="containsText" dxfId="3724" priority="4027" operator="containsText" text="Off Target">
      <formula>NOT(ISERROR(SEARCH("Off Target",G74)))</formula>
    </cfRule>
    <cfRule type="containsText" dxfId="3723" priority="4028" operator="containsText" text="In Danger of Falling Behind Target">
      <formula>NOT(ISERROR(SEARCH("In Danger of Falling Behind Target",G74)))</formula>
    </cfRule>
    <cfRule type="containsText" dxfId="3722" priority="4029" operator="containsText" text="On Track to be Achieved">
      <formula>NOT(ISERROR(SEARCH("On Track to be Achieved",G74)))</formula>
    </cfRule>
    <cfRule type="containsText" dxfId="3721" priority="4030" operator="containsText" text="Fully Achieved">
      <formula>NOT(ISERROR(SEARCH("Fully Achieved",G74)))</formula>
    </cfRule>
    <cfRule type="containsText" dxfId="3720" priority="4031" operator="containsText" text="Fully Achieved">
      <formula>NOT(ISERROR(SEARCH("Fully Achieved",G74)))</formula>
    </cfRule>
    <cfRule type="containsText" dxfId="3719" priority="4032" operator="containsText" text="Fully Achieved">
      <formula>NOT(ISERROR(SEARCH("Fully Achieved",G74)))</formula>
    </cfRule>
    <cfRule type="containsText" dxfId="3718" priority="4033" operator="containsText" text="Deferred">
      <formula>NOT(ISERROR(SEARCH("Deferred",G74)))</formula>
    </cfRule>
    <cfRule type="containsText" dxfId="3717" priority="4034" operator="containsText" text="Deleted">
      <formula>NOT(ISERROR(SEARCH("Deleted",G74)))</formula>
    </cfRule>
    <cfRule type="containsText" dxfId="3716" priority="4035" operator="containsText" text="In Danger of Falling Behind Target">
      <formula>NOT(ISERROR(SEARCH("In Danger of Falling Behind Target",G74)))</formula>
    </cfRule>
    <cfRule type="containsText" dxfId="3715" priority="4036" operator="containsText" text="Not yet due">
      <formula>NOT(ISERROR(SEARCH("Not yet due",G74)))</formula>
    </cfRule>
    <cfRule type="containsText" dxfId="3714" priority="4037" operator="containsText" text="Update not Provided">
      <formula>NOT(ISERROR(SEARCH("Update not Provided",G74)))</formula>
    </cfRule>
  </conditionalFormatting>
  <conditionalFormatting sqref="G83">
    <cfRule type="containsText" dxfId="3713" priority="3966" operator="containsText" text="On track to be achieved">
      <formula>NOT(ISERROR(SEARCH("On track to be achieved",G83)))</formula>
    </cfRule>
    <cfRule type="containsText" dxfId="3712" priority="3967" operator="containsText" text="Deferred">
      <formula>NOT(ISERROR(SEARCH("Deferred",G83)))</formula>
    </cfRule>
    <cfRule type="containsText" dxfId="3711" priority="3968" operator="containsText" text="Deleted">
      <formula>NOT(ISERROR(SEARCH("Deleted",G83)))</formula>
    </cfRule>
    <cfRule type="containsText" dxfId="3710" priority="3969" operator="containsText" text="In Danger of Falling Behind Target">
      <formula>NOT(ISERROR(SEARCH("In Danger of Falling Behind Target",G83)))</formula>
    </cfRule>
    <cfRule type="containsText" dxfId="3709" priority="3970" operator="containsText" text="Not yet due">
      <formula>NOT(ISERROR(SEARCH("Not yet due",G83)))</formula>
    </cfRule>
    <cfRule type="containsText" dxfId="3708" priority="3971" operator="containsText" text="Update not Provided">
      <formula>NOT(ISERROR(SEARCH("Update not Provided",G83)))</formula>
    </cfRule>
    <cfRule type="containsText" dxfId="3707" priority="3972" operator="containsText" text="Not yet due">
      <formula>NOT(ISERROR(SEARCH("Not yet due",G83)))</formula>
    </cfRule>
    <cfRule type="containsText" dxfId="3706" priority="3973" operator="containsText" text="Completed Behind Schedule">
      <formula>NOT(ISERROR(SEARCH("Completed Behind Schedule",G83)))</formula>
    </cfRule>
    <cfRule type="containsText" dxfId="3705" priority="3974" operator="containsText" text="Off Target">
      <formula>NOT(ISERROR(SEARCH("Off Target",G83)))</formula>
    </cfRule>
    <cfRule type="containsText" dxfId="3704" priority="3975" operator="containsText" text="On Track to be Achieved">
      <formula>NOT(ISERROR(SEARCH("On Track to be Achieved",G83)))</formula>
    </cfRule>
    <cfRule type="containsText" dxfId="3703" priority="3976" operator="containsText" text="Fully Achieved">
      <formula>NOT(ISERROR(SEARCH("Fully Achieved",G83)))</formula>
    </cfRule>
    <cfRule type="containsText" dxfId="3702" priority="3977" operator="containsText" text="Not yet due">
      <formula>NOT(ISERROR(SEARCH("Not yet due",G83)))</formula>
    </cfRule>
    <cfRule type="containsText" dxfId="3701" priority="3978" operator="containsText" text="Not Yet Due">
      <formula>NOT(ISERROR(SEARCH("Not Yet Due",G83)))</formula>
    </cfRule>
    <cfRule type="containsText" dxfId="3700" priority="3979" operator="containsText" text="Deferred">
      <formula>NOT(ISERROR(SEARCH("Deferred",G83)))</formula>
    </cfRule>
    <cfRule type="containsText" dxfId="3699" priority="3980" operator="containsText" text="Deleted">
      <formula>NOT(ISERROR(SEARCH("Deleted",G83)))</formula>
    </cfRule>
    <cfRule type="containsText" dxfId="3698" priority="3981" operator="containsText" text="In Danger of Falling Behind Target">
      <formula>NOT(ISERROR(SEARCH("In Danger of Falling Behind Target",G83)))</formula>
    </cfRule>
    <cfRule type="containsText" dxfId="3697" priority="3982" operator="containsText" text="Not yet due">
      <formula>NOT(ISERROR(SEARCH("Not yet due",G83)))</formula>
    </cfRule>
    <cfRule type="containsText" dxfId="3696" priority="3983" operator="containsText" text="Completed Behind Schedule">
      <formula>NOT(ISERROR(SEARCH("Completed Behind Schedule",G83)))</formula>
    </cfRule>
    <cfRule type="containsText" dxfId="3695" priority="3984" operator="containsText" text="Off Target">
      <formula>NOT(ISERROR(SEARCH("Off Target",G83)))</formula>
    </cfRule>
    <cfRule type="containsText" dxfId="3694" priority="3985" operator="containsText" text="In Danger of Falling Behind Target">
      <formula>NOT(ISERROR(SEARCH("In Danger of Falling Behind Target",G83)))</formula>
    </cfRule>
    <cfRule type="containsText" dxfId="3693" priority="3986" operator="containsText" text="On Track to be Achieved">
      <formula>NOT(ISERROR(SEARCH("On Track to be Achieved",G83)))</formula>
    </cfRule>
    <cfRule type="containsText" dxfId="3692" priority="3987" operator="containsText" text="Fully Achieved">
      <formula>NOT(ISERROR(SEARCH("Fully Achieved",G83)))</formula>
    </cfRule>
    <cfRule type="containsText" dxfId="3691" priority="3988" operator="containsText" text="Update not Provided">
      <formula>NOT(ISERROR(SEARCH("Update not Provided",G83)))</formula>
    </cfRule>
    <cfRule type="containsText" dxfId="3690" priority="3989" operator="containsText" text="Not yet due">
      <formula>NOT(ISERROR(SEARCH("Not yet due",G83)))</formula>
    </cfRule>
    <cfRule type="containsText" dxfId="3689" priority="3990" operator="containsText" text="Completed Behind Schedule">
      <formula>NOT(ISERROR(SEARCH("Completed Behind Schedule",G83)))</formula>
    </cfRule>
    <cfRule type="containsText" dxfId="3688" priority="3991" operator="containsText" text="Off Target">
      <formula>NOT(ISERROR(SEARCH("Off Target",G83)))</formula>
    </cfRule>
    <cfRule type="containsText" dxfId="3687" priority="3992" operator="containsText" text="In Danger of Falling Behind Target">
      <formula>NOT(ISERROR(SEARCH("In Danger of Falling Behind Target",G83)))</formula>
    </cfRule>
    <cfRule type="containsText" dxfId="3686" priority="3993" operator="containsText" text="On Track to be Achieved">
      <formula>NOT(ISERROR(SEARCH("On Track to be Achieved",G83)))</formula>
    </cfRule>
    <cfRule type="containsText" dxfId="3685" priority="3994" operator="containsText" text="Fully Achieved">
      <formula>NOT(ISERROR(SEARCH("Fully Achieved",G83)))</formula>
    </cfRule>
    <cfRule type="containsText" dxfId="3684" priority="3995" operator="containsText" text="Fully Achieved">
      <formula>NOT(ISERROR(SEARCH("Fully Achieved",G83)))</formula>
    </cfRule>
    <cfRule type="containsText" dxfId="3683" priority="3996" operator="containsText" text="Fully Achieved">
      <formula>NOT(ISERROR(SEARCH("Fully Achieved",G83)))</formula>
    </cfRule>
    <cfRule type="containsText" dxfId="3682" priority="3997" operator="containsText" text="Deferred">
      <formula>NOT(ISERROR(SEARCH("Deferred",G83)))</formula>
    </cfRule>
    <cfRule type="containsText" dxfId="3681" priority="3998" operator="containsText" text="Deleted">
      <formula>NOT(ISERROR(SEARCH("Deleted",G83)))</formula>
    </cfRule>
    <cfRule type="containsText" dxfId="3680" priority="3999" operator="containsText" text="In Danger of Falling Behind Target">
      <formula>NOT(ISERROR(SEARCH("In Danger of Falling Behind Target",G83)))</formula>
    </cfRule>
    <cfRule type="containsText" dxfId="3679" priority="4000" operator="containsText" text="Not yet due">
      <formula>NOT(ISERROR(SEARCH("Not yet due",G83)))</formula>
    </cfRule>
    <cfRule type="containsText" dxfId="3678" priority="4001" operator="containsText" text="Update not Provided">
      <formula>NOT(ISERROR(SEARCH("Update not Provided",G83)))</formula>
    </cfRule>
  </conditionalFormatting>
  <conditionalFormatting sqref="G86">
    <cfRule type="containsText" dxfId="3677" priority="3930" operator="containsText" text="On track to be achieved">
      <formula>NOT(ISERROR(SEARCH("On track to be achieved",G86)))</formula>
    </cfRule>
    <cfRule type="containsText" dxfId="3676" priority="3931" operator="containsText" text="Deferred">
      <formula>NOT(ISERROR(SEARCH("Deferred",G86)))</formula>
    </cfRule>
    <cfRule type="containsText" dxfId="3675" priority="3932" operator="containsText" text="Deleted">
      <formula>NOT(ISERROR(SEARCH("Deleted",G86)))</formula>
    </cfRule>
    <cfRule type="containsText" dxfId="3674" priority="3933" operator="containsText" text="In Danger of Falling Behind Target">
      <formula>NOT(ISERROR(SEARCH("In Danger of Falling Behind Target",G86)))</formula>
    </cfRule>
    <cfRule type="containsText" dxfId="3673" priority="3934" operator="containsText" text="Not yet due">
      <formula>NOT(ISERROR(SEARCH("Not yet due",G86)))</formula>
    </cfRule>
    <cfRule type="containsText" dxfId="3672" priority="3935" operator="containsText" text="Update not Provided">
      <formula>NOT(ISERROR(SEARCH("Update not Provided",G86)))</formula>
    </cfRule>
    <cfRule type="containsText" dxfId="3671" priority="3936" operator="containsText" text="Not yet due">
      <formula>NOT(ISERROR(SEARCH("Not yet due",G86)))</formula>
    </cfRule>
    <cfRule type="containsText" dxfId="3670" priority="3937" operator="containsText" text="Completed Behind Schedule">
      <formula>NOT(ISERROR(SEARCH("Completed Behind Schedule",G86)))</formula>
    </cfRule>
    <cfRule type="containsText" dxfId="3669" priority="3938" operator="containsText" text="Off Target">
      <formula>NOT(ISERROR(SEARCH("Off Target",G86)))</formula>
    </cfRule>
    <cfRule type="containsText" dxfId="3668" priority="3939" operator="containsText" text="On Track to be Achieved">
      <formula>NOT(ISERROR(SEARCH("On Track to be Achieved",G86)))</formula>
    </cfRule>
    <cfRule type="containsText" dxfId="3667" priority="3940" operator="containsText" text="Fully Achieved">
      <formula>NOT(ISERROR(SEARCH("Fully Achieved",G86)))</formula>
    </cfRule>
    <cfRule type="containsText" dxfId="3666" priority="3941" operator="containsText" text="Not yet due">
      <formula>NOT(ISERROR(SEARCH("Not yet due",G86)))</formula>
    </cfRule>
    <cfRule type="containsText" dxfId="3665" priority="3942" operator="containsText" text="Not Yet Due">
      <formula>NOT(ISERROR(SEARCH("Not Yet Due",G86)))</formula>
    </cfRule>
    <cfRule type="containsText" dxfId="3664" priority="3943" operator="containsText" text="Deferred">
      <formula>NOT(ISERROR(SEARCH("Deferred",G86)))</formula>
    </cfRule>
    <cfRule type="containsText" dxfId="3663" priority="3944" operator="containsText" text="Deleted">
      <formula>NOT(ISERROR(SEARCH("Deleted",G86)))</formula>
    </cfRule>
    <cfRule type="containsText" dxfId="3662" priority="3945" operator="containsText" text="In Danger of Falling Behind Target">
      <formula>NOT(ISERROR(SEARCH("In Danger of Falling Behind Target",G86)))</formula>
    </cfRule>
    <cfRule type="containsText" dxfId="3661" priority="3946" operator="containsText" text="Not yet due">
      <formula>NOT(ISERROR(SEARCH("Not yet due",G86)))</formula>
    </cfRule>
    <cfRule type="containsText" dxfId="3660" priority="3947" operator="containsText" text="Completed Behind Schedule">
      <formula>NOT(ISERROR(SEARCH("Completed Behind Schedule",G86)))</formula>
    </cfRule>
    <cfRule type="containsText" dxfId="3659" priority="3948" operator="containsText" text="Off Target">
      <formula>NOT(ISERROR(SEARCH("Off Target",G86)))</formula>
    </cfRule>
    <cfRule type="containsText" dxfId="3658" priority="3949" operator="containsText" text="In Danger of Falling Behind Target">
      <formula>NOT(ISERROR(SEARCH("In Danger of Falling Behind Target",G86)))</formula>
    </cfRule>
    <cfRule type="containsText" dxfId="3657" priority="3950" operator="containsText" text="On Track to be Achieved">
      <formula>NOT(ISERROR(SEARCH("On Track to be Achieved",G86)))</formula>
    </cfRule>
    <cfRule type="containsText" dxfId="3656" priority="3951" operator="containsText" text="Fully Achieved">
      <formula>NOT(ISERROR(SEARCH("Fully Achieved",G86)))</formula>
    </cfRule>
    <cfRule type="containsText" dxfId="3655" priority="3952" operator="containsText" text="Update not Provided">
      <formula>NOT(ISERROR(SEARCH("Update not Provided",G86)))</formula>
    </cfRule>
    <cfRule type="containsText" dxfId="3654" priority="3953" operator="containsText" text="Not yet due">
      <formula>NOT(ISERROR(SEARCH("Not yet due",G86)))</formula>
    </cfRule>
    <cfRule type="containsText" dxfId="3653" priority="3954" operator="containsText" text="Completed Behind Schedule">
      <formula>NOT(ISERROR(SEARCH("Completed Behind Schedule",G86)))</formula>
    </cfRule>
    <cfRule type="containsText" dxfId="3652" priority="3955" operator="containsText" text="Off Target">
      <formula>NOT(ISERROR(SEARCH("Off Target",G86)))</formula>
    </cfRule>
    <cfRule type="containsText" dxfId="3651" priority="3956" operator="containsText" text="In Danger of Falling Behind Target">
      <formula>NOT(ISERROR(SEARCH("In Danger of Falling Behind Target",G86)))</formula>
    </cfRule>
    <cfRule type="containsText" dxfId="3650" priority="3957" operator="containsText" text="On Track to be Achieved">
      <formula>NOT(ISERROR(SEARCH("On Track to be Achieved",G86)))</formula>
    </cfRule>
    <cfRule type="containsText" dxfId="3649" priority="3958" operator="containsText" text="Fully Achieved">
      <formula>NOT(ISERROR(SEARCH("Fully Achieved",G86)))</formula>
    </cfRule>
    <cfRule type="containsText" dxfId="3648" priority="3959" operator="containsText" text="Fully Achieved">
      <formula>NOT(ISERROR(SEARCH("Fully Achieved",G86)))</formula>
    </cfRule>
    <cfRule type="containsText" dxfId="3647" priority="3960" operator="containsText" text="Fully Achieved">
      <formula>NOT(ISERROR(SEARCH("Fully Achieved",G86)))</formula>
    </cfRule>
    <cfRule type="containsText" dxfId="3646" priority="3961" operator="containsText" text="Deferred">
      <formula>NOT(ISERROR(SEARCH("Deferred",G86)))</formula>
    </cfRule>
    <cfRule type="containsText" dxfId="3645" priority="3962" operator="containsText" text="Deleted">
      <formula>NOT(ISERROR(SEARCH("Deleted",G86)))</formula>
    </cfRule>
    <cfRule type="containsText" dxfId="3644" priority="3963" operator="containsText" text="In Danger of Falling Behind Target">
      <formula>NOT(ISERROR(SEARCH("In Danger of Falling Behind Target",G86)))</formula>
    </cfRule>
    <cfRule type="containsText" dxfId="3643" priority="3964" operator="containsText" text="Not yet due">
      <formula>NOT(ISERROR(SEARCH("Not yet due",G86)))</formula>
    </cfRule>
    <cfRule type="containsText" dxfId="3642" priority="3965" operator="containsText" text="Update not Provided">
      <formula>NOT(ISERROR(SEARCH("Update not Provided",G86)))</formula>
    </cfRule>
  </conditionalFormatting>
  <conditionalFormatting sqref="G98">
    <cfRule type="containsText" dxfId="3641" priority="3894" operator="containsText" text="On track to be achieved">
      <formula>NOT(ISERROR(SEARCH("On track to be achieved",G98)))</formula>
    </cfRule>
    <cfRule type="containsText" dxfId="3640" priority="3895" operator="containsText" text="Deferred">
      <formula>NOT(ISERROR(SEARCH("Deferred",G98)))</formula>
    </cfRule>
    <cfRule type="containsText" dxfId="3639" priority="3896" operator="containsText" text="Deleted">
      <formula>NOT(ISERROR(SEARCH("Deleted",G98)))</formula>
    </cfRule>
    <cfRule type="containsText" dxfId="3638" priority="3897" operator="containsText" text="In Danger of Falling Behind Target">
      <formula>NOT(ISERROR(SEARCH("In Danger of Falling Behind Target",G98)))</formula>
    </cfRule>
    <cfRule type="containsText" dxfId="3637" priority="3898" operator="containsText" text="Not yet due">
      <formula>NOT(ISERROR(SEARCH("Not yet due",G98)))</formula>
    </cfRule>
    <cfRule type="containsText" dxfId="3636" priority="3899" operator="containsText" text="Update not Provided">
      <formula>NOT(ISERROR(SEARCH("Update not Provided",G98)))</formula>
    </cfRule>
    <cfRule type="containsText" dxfId="3635" priority="3900" operator="containsText" text="Not yet due">
      <formula>NOT(ISERROR(SEARCH("Not yet due",G98)))</formula>
    </cfRule>
    <cfRule type="containsText" dxfId="3634" priority="3901" operator="containsText" text="Completed Behind Schedule">
      <formula>NOT(ISERROR(SEARCH("Completed Behind Schedule",G98)))</formula>
    </cfRule>
    <cfRule type="containsText" dxfId="3633" priority="3902" operator="containsText" text="Off Target">
      <formula>NOT(ISERROR(SEARCH("Off Target",G98)))</formula>
    </cfRule>
    <cfRule type="containsText" dxfId="3632" priority="3903" operator="containsText" text="On Track to be Achieved">
      <formula>NOT(ISERROR(SEARCH("On Track to be Achieved",G98)))</formula>
    </cfRule>
    <cfRule type="containsText" dxfId="3631" priority="3904" operator="containsText" text="Fully Achieved">
      <formula>NOT(ISERROR(SEARCH("Fully Achieved",G98)))</formula>
    </cfRule>
    <cfRule type="containsText" dxfId="3630" priority="3905" operator="containsText" text="Not yet due">
      <formula>NOT(ISERROR(SEARCH("Not yet due",G98)))</formula>
    </cfRule>
    <cfRule type="containsText" dxfId="3629" priority="3906" operator="containsText" text="Not Yet Due">
      <formula>NOT(ISERROR(SEARCH("Not Yet Due",G98)))</formula>
    </cfRule>
    <cfRule type="containsText" dxfId="3628" priority="3907" operator="containsText" text="Deferred">
      <formula>NOT(ISERROR(SEARCH("Deferred",G98)))</formula>
    </cfRule>
    <cfRule type="containsText" dxfId="3627" priority="3908" operator="containsText" text="Deleted">
      <formula>NOT(ISERROR(SEARCH("Deleted",G98)))</formula>
    </cfRule>
    <cfRule type="containsText" dxfId="3626" priority="3909" operator="containsText" text="In Danger of Falling Behind Target">
      <formula>NOT(ISERROR(SEARCH("In Danger of Falling Behind Target",G98)))</formula>
    </cfRule>
    <cfRule type="containsText" dxfId="3625" priority="3910" operator="containsText" text="Not yet due">
      <formula>NOT(ISERROR(SEARCH("Not yet due",G98)))</formula>
    </cfRule>
    <cfRule type="containsText" dxfId="3624" priority="3911" operator="containsText" text="Completed Behind Schedule">
      <formula>NOT(ISERROR(SEARCH("Completed Behind Schedule",G98)))</formula>
    </cfRule>
    <cfRule type="containsText" dxfId="3623" priority="3912" operator="containsText" text="Off Target">
      <formula>NOT(ISERROR(SEARCH("Off Target",G98)))</formula>
    </cfRule>
    <cfRule type="containsText" dxfId="3622" priority="3913" operator="containsText" text="In Danger of Falling Behind Target">
      <formula>NOT(ISERROR(SEARCH("In Danger of Falling Behind Target",G98)))</formula>
    </cfRule>
    <cfRule type="containsText" dxfId="3621" priority="3914" operator="containsText" text="On Track to be Achieved">
      <formula>NOT(ISERROR(SEARCH("On Track to be Achieved",G98)))</formula>
    </cfRule>
    <cfRule type="containsText" dxfId="3620" priority="3915" operator="containsText" text="Fully Achieved">
      <formula>NOT(ISERROR(SEARCH("Fully Achieved",G98)))</formula>
    </cfRule>
    <cfRule type="containsText" dxfId="3619" priority="3916" operator="containsText" text="Update not Provided">
      <formula>NOT(ISERROR(SEARCH("Update not Provided",G98)))</formula>
    </cfRule>
    <cfRule type="containsText" dxfId="3618" priority="3917" operator="containsText" text="Not yet due">
      <formula>NOT(ISERROR(SEARCH("Not yet due",G98)))</formula>
    </cfRule>
    <cfRule type="containsText" dxfId="3617" priority="3918" operator="containsText" text="Completed Behind Schedule">
      <formula>NOT(ISERROR(SEARCH("Completed Behind Schedule",G98)))</formula>
    </cfRule>
    <cfRule type="containsText" dxfId="3616" priority="3919" operator="containsText" text="Off Target">
      <formula>NOT(ISERROR(SEARCH("Off Target",G98)))</formula>
    </cfRule>
    <cfRule type="containsText" dxfId="3615" priority="3920" operator="containsText" text="In Danger of Falling Behind Target">
      <formula>NOT(ISERROR(SEARCH("In Danger of Falling Behind Target",G98)))</formula>
    </cfRule>
    <cfRule type="containsText" dxfId="3614" priority="3921" operator="containsText" text="On Track to be Achieved">
      <formula>NOT(ISERROR(SEARCH("On Track to be Achieved",G98)))</formula>
    </cfRule>
    <cfRule type="containsText" dxfId="3613" priority="3922" operator="containsText" text="Fully Achieved">
      <formula>NOT(ISERROR(SEARCH("Fully Achieved",G98)))</formula>
    </cfRule>
    <cfRule type="containsText" dxfId="3612" priority="3923" operator="containsText" text="Fully Achieved">
      <formula>NOT(ISERROR(SEARCH("Fully Achieved",G98)))</formula>
    </cfRule>
    <cfRule type="containsText" dxfId="3611" priority="3924" operator="containsText" text="Fully Achieved">
      <formula>NOT(ISERROR(SEARCH("Fully Achieved",G98)))</formula>
    </cfRule>
    <cfRule type="containsText" dxfId="3610" priority="3925" operator="containsText" text="Deferred">
      <formula>NOT(ISERROR(SEARCH("Deferred",G98)))</formula>
    </cfRule>
    <cfRule type="containsText" dxfId="3609" priority="3926" operator="containsText" text="Deleted">
      <formula>NOT(ISERROR(SEARCH("Deleted",G98)))</formula>
    </cfRule>
    <cfRule type="containsText" dxfId="3608" priority="3927" operator="containsText" text="In Danger of Falling Behind Target">
      <formula>NOT(ISERROR(SEARCH("In Danger of Falling Behind Target",G98)))</formula>
    </cfRule>
    <cfRule type="containsText" dxfId="3607" priority="3928" operator="containsText" text="Not yet due">
      <formula>NOT(ISERROR(SEARCH("Not yet due",G98)))</formula>
    </cfRule>
    <cfRule type="containsText" dxfId="3606" priority="3929" operator="containsText" text="Update not Provided">
      <formula>NOT(ISERROR(SEARCH("Update not Provided",G98)))</formula>
    </cfRule>
  </conditionalFormatting>
  <conditionalFormatting sqref="J1:J1048576">
    <cfRule type="containsText" dxfId="3605" priority="3892" operator="containsText" text="numerical outturn within 5% tolerance">
      <formula>NOT(ISERROR(SEARCH("numerical outturn within 5% tolerance",J1)))</formula>
    </cfRule>
    <cfRule type="containsText" dxfId="3604" priority="3893" operator="containsText" text="Target Partially Met">
      <formula>NOT(ISERROR(SEARCH("Target Partially Met",J1)))</formula>
    </cfRule>
  </conditionalFormatting>
  <conditionalFormatting sqref="I42">
    <cfRule type="containsText" dxfId="3603" priority="3856" operator="containsText" text="On track to be achieved">
      <formula>NOT(ISERROR(SEARCH("On track to be achieved",I42)))</formula>
    </cfRule>
    <cfRule type="containsText" dxfId="3602" priority="3857" operator="containsText" text="Deferred">
      <formula>NOT(ISERROR(SEARCH("Deferred",I42)))</formula>
    </cfRule>
    <cfRule type="containsText" dxfId="3601" priority="3858" operator="containsText" text="Deleted">
      <formula>NOT(ISERROR(SEARCH("Deleted",I42)))</formula>
    </cfRule>
    <cfRule type="containsText" dxfId="3600" priority="3859" operator="containsText" text="In Danger of Falling Behind Target">
      <formula>NOT(ISERROR(SEARCH("In Danger of Falling Behind Target",I42)))</formula>
    </cfRule>
    <cfRule type="containsText" dxfId="3599" priority="3860" operator="containsText" text="Not yet due">
      <formula>NOT(ISERROR(SEARCH("Not yet due",I42)))</formula>
    </cfRule>
    <cfRule type="containsText" dxfId="3598" priority="3861" operator="containsText" text="Update not Provided">
      <formula>NOT(ISERROR(SEARCH("Update not Provided",I42)))</formula>
    </cfRule>
    <cfRule type="containsText" dxfId="3597" priority="3862" operator="containsText" text="Not yet due">
      <formula>NOT(ISERROR(SEARCH("Not yet due",I42)))</formula>
    </cfRule>
    <cfRule type="containsText" dxfId="3596" priority="3863" operator="containsText" text="Completed Behind Schedule">
      <formula>NOT(ISERROR(SEARCH("Completed Behind Schedule",I42)))</formula>
    </cfRule>
    <cfRule type="containsText" dxfId="3595" priority="3864" operator="containsText" text="Off Target">
      <formula>NOT(ISERROR(SEARCH("Off Target",I42)))</formula>
    </cfRule>
    <cfRule type="containsText" dxfId="3594" priority="3865" operator="containsText" text="On Track to be Achieved">
      <formula>NOT(ISERROR(SEARCH("On Track to be Achieved",I42)))</formula>
    </cfRule>
    <cfRule type="containsText" dxfId="3593" priority="3866" operator="containsText" text="Fully Achieved">
      <formula>NOT(ISERROR(SEARCH("Fully Achieved",I42)))</formula>
    </cfRule>
    <cfRule type="containsText" dxfId="3592" priority="3867" operator="containsText" text="Not yet due">
      <formula>NOT(ISERROR(SEARCH("Not yet due",I42)))</formula>
    </cfRule>
    <cfRule type="containsText" dxfId="3591" priority="3868" operator="containsText" text="Not Yet Due">
      <formula>NOT(ISERROR(SEARCH("Not Yet Due",I42)))</formula>
    </cfRule>
    <cfRule type="containsText" dxfId="3590" priority="3869" operator="containsText" text="Deferred">
      <formula>NOT(ISERROR(SEARCH("Deferred",I42)))</formula>
    </cfRule>
    <cfRule type="containsText" dxfId="3589" priority="3870" operator="containsText" text="Deleted">
      <formula>NOT(ISERROR(SEARCH("Deleted",I42)))</formula>
    </cfRule>
    <cfRule type="containsText" dxfId="3588" priority="3871" operator="containsText" text="In Danger of Falling Behind Target">
      <formula>NOT(ISERROR(SEARCH("In Danger of Falling Behind Target",I42)))</formula>
    </cfRule>
    <cfRule type="containsText" dxfId="3587" priority="3872" operator="containsText" text="Not yet due">
      <formula>NOT(ISERROR(SEARCH("Not yet due",I42)))</formula>
    </cfRule>
    <cfRule type="containsText" dxfId="3586" priority="3873" operator="containsText" text="Completed Behind Schedule">
      <formula>NOT(ISERROR(SEARCH("Completed Behind Schedule",I42)))</formula>
    </cfRule>
    <cfRule type="containsText" dxfId="3585" priority="3874" operator="containsText" text="Off Target">
      <formula>NOT(ISERROR(SEARCH("Off Target",I42)))</formula>
    </cfRule>
    <cfRule type="containsText" dxfId="3584" priority="3875" operator="containsText" text="In Danger of Falling Behind Target">
      <formula>NOT(ISERROR(SEARCH("In Danger of Falling Behind Target",I42)))</formula>
    </cfRule>
    <cfRule type="containsText" dxfId="3583" priority="3876" operator="containsText" text="On Track to be Achieved">
      <formula>NOT(ISERROR(SEARCH("On Track to be Achieved",I42)))</formula>
    </cfRule>
    <cfRule type="containsText" dxfId="3582" priority="3877" operator="containsText" text="Fully Achieved">
      <formula>NOT(ISERROR(SEARCH("Fully Achieved",I42)))</formula>
    </cfRule>
    <cfRule type="containsText" dxfId="3581" priority="3878" operator="containsText" text="Update not Provided">
      <formula>NOT(ISERROR(SEARCH("Update not Provided",I42)))</formula>
    </cfRule>
    <cfRule type="containsText" dxfId="3580" priority="3879" operator="containsText" text="Not yet due">
      <formula>NOT(ISERROR(SEARCH("Not yet due",I42)))</formula>
    </cfRule>
    <cfRule type="containsText" dxfId="3579" priority="3880" operator="containsText" text="Completed Behind Schedule">
      <formula>NOT(ISERROR(SEARCH("Completed Behind Schedule",I42)))</formula>
    </cfRule>
    <cfRule type="containsText" dxfId="3578" priority="3881" operator="containsText" text="Off Target">
      <formula>NOT(ISERROR(SEARCH("Off Target",I42)))</formula>
    </cfRule>
    <cfRule type="containsText" dxfId="3577" priority="3882" operator="containsText" text="In Danger of Falling Behind Target">
      <formula>NOT(ISERROR(SEARCH("In Danger of Falling Behind Target",I42)))</formula>
    </cfRule>
    <cfRule type="containsText" dxfId="3576" priority="3883" operator="containsText" text="On Track to be Achieved">
      <formula>NOT(ISERROR(SEARCH("On Track to be Achieved",I42)))</formula>
    </cfRule>
    <cfRule type="containsText" dxfId="3575" priority="3884" operator="containsText" text="Fully Achieved">
      <formula>NOT(ISERROR(SEARCH("Fully Achieved",I42)))</formula>
    </cfRule>
    <cfRule type="containsText" dxfId="3574" priority="3885" operator="containsText" text="Fully Achieved">
      <formula>NOT(ISERROR(SEARCH("Fully Achieved",I42)))</formula>
    </cfRule>
    <cfRule type="containsText" dxfId="3573" priority="3886" operator="containsText" text="Fully Achieved">
      <formula>NOT(ISERROR(SEARCH("Fully Achieved",I42)))</formula>
    </cfRule>
    <cfRule type="containsText" dxfId="3572" priority="3887" operator="containsText" text="Deferred">
      <formula>NOT(ISERROR(SEARCH("Deferred",I42)))</formula>
    </cfRule>
    <cfRule type="containsText" dxfId="3571" priority="3888" operator="containsText" text="Deleted">
      <formula>NOT(ISERROR(SEARCH("Deleted",I42)))</formula>
    </cfRule>
    <cfRule type="containsText" dxfId="3570" priority="3889" operator="containsText" text="In Danger of Falling Behind Target">
      <formula>NOT(ISERROR(SEARCH("In Danger of Falling Behind Target",I42)))</formula>
    </cfRule>
    <cfRule type="containsText" dxfId="3569" priority="3890" operator="containsText" text="Not yet due">
      <formula>NOT(ISERROR(SEARCH("Not yet due",I42)))</formula>
    </cfRule>
    <cfRule type="containsText" dxfId="3568" priority="3891" operator="containsText" text="Update not Provided">
      <formula>NOT(ISERROR(SEARCH("Update not Provided",I42)))</formula>
    </cfRule>
  </conditionalFormatting>
  <conditionalFormatting sqref="I50">
    <cfRule type="containsText" dxfId="3567" priority="3820" operator="containsText" text="On track to be achieved">
      <formula>NOT(ISERROR(SEARCH("On track to be achieved",I50)))</formula>
    </cfRule>
    <cfRule type="containsText" dxfId="3566" priority="3821" operator="containsText" text="Deferred">
      <formula>NOT(ISERROR(SEARCH("Deferred",I50)))</formula>
    </cfRule>
    <cfRule type="containsText" dxfId="3565" priority="3822" operator="containsText" text="Deleted">
      <formula>NOT(ISERROR(SEARCH("Deleted",I50)))</formula>
    </cfRule>
    <cfRule type="containsText" dxfId="3564" priority="3823" operator="containsText" text="In Danger of Falling Behind Target">
      <formula>NOT(ISERROR(SEARCH("In Danger of Falling Behind Target",I50)))</formula>
    </cfRule>
    <cfRule type="containsText" dxfId="3563" priority="3824" operator="containsText" text="Not yet due">
      <formula>NOT(ISERROR(SEARCH("Not yet due",I50)))</formula>
    </cfRule>
    <cfRule type="containsText" dxfId="3562" priority="3825" operator="containsText" text="Update not Provided">
      <formula>NOT(ISERROR(SEARCH("Update not Provided",I50)))</formula>
    </cfRule>
    <cfRule type="containsText" dxfId="3561" priority="3826" operator="containsText" text="Not yet due">
      <formula>NOT(ISERROR(SEARCH("Not yet due",I50)))</formula>
    </cfRule>
    <cfRule type="containsText" dxfId="3560" priority="3827" operator="containsText" text="Completed Behind Schedule">
      <formula>NOT(ISERROR(SEARCH("Completed Behind Schedule",I50)))</formula>
    </cfRule>
    <cfRule type="containsText" dxfId="3559" priority="3828" operator="containsText" text="Off Target">
      <formula>NOT(ISERROR(SEARCH("Off Target",I50)))</formula>
    </cfRule>
    <cfRule type="containsText" dxfId="3558" priority="3829" operator="containsText" text="On Track to be Achieved">
      <formula>NOT(ISERROR(SEARCH("On Track to be Achieved",I50)))</formula>
    </cfRule>
    <cfRule type="containsText" dxfId="3557" priority="3830" operator="containsText" text="Fully Achieved">
      <formula>NOT(ISERROR(SEARCH("Fully Achieved",I50)))</formula>
    </cfRule>
    <cfRule type="containsText" dxfId="3556" priority="3831" operator="containsText" text="Not yet due">
      <formula>NOT(ISERROR(SEARCH("Not yet due",I50)))</formula>
    </cfRule>
    <cfRule type="containsText" dxfId="3555" priority="3832" operator="containsText" text="Not Yet Due">
      <formula>NOT(ISERROR(SEARCH("Not Yet Due",I50)))</formula>
    </cfRule>
    <cfRule type="containsText" dxfId="3554" priority="3833" operator="containsText" text="Deferred">
      <formula>NOT(ISERROR(SEARCH("Deferred",I50)))</formula>
    </cfRule>
    <cfRule type="containsText" dxfId="3553" priority="3834" operator="containsText" text="Deleted">
      <formula>NOT(ISERROR(SEARCH("Deleted",I50)))</formula>
    </cfRule>
    <cfRule type="containsText" dxfId="3552" priority="3835" operator="containsText" text="In Danger of Falling Behind Target">
      <formula>NOT(ISERROR(SEARCH("In Danger of Falling Behind Target",I50)))</formula>
    </cfRule>
    <cfRule type="containsText" dxfId="3551" priority="3836" operator="containsText" text="Not yet due">
      <formula>NOT(ISERROR(SEARCH("Not yet due",I50)))</formula>
    </cfRule>
    <cfRule type="containsText" dxfId="3550" priority="3837" operator="containsText" text="Completed Behind Schedule">
      <formula>NOT(ISERROR(SEARCH("Completed Behind Schedule",I50)))</formula>
    </cfRule>
    <cfRule type="containsText" dxfId="3549" priority="3838" operator="containsText" text="Off Target">
      <formula>NOT(ISERROR(SEARCH("Off Target",I50)))</formula>
    </cfRule>
    <cfRule type="containsText" dxfId="3548" priority="3839" operator="containsText" text="In Danger of Falling Behind Target">
      <formula>NOT(ISERROR(SEARCH("In Danger of Falling Behind Target",I50)))</formula>
    </cfRule>
    <cfRule type="containsText" dxfId="3547" priority="3840" operator="containsText" text="On Track to be Achieved">
      <formula>NOT(ISERROR(SEARCH("On Track to be Achieved",I50)))</formula>
    </cfRule>
    <cfRule type="containsText" dxfId="3546" priority="3841" operator="containsText" text="Fully Achieved">
      <formula>NOT(ISERROR(SEARCH("Fully Achieved",I50)))</formula>
    </cfRule>
    <cfRule type="containsText" dxfId="3545" priority="3842" operator="containsText" text="Update not Provided">
      <formula>NOT(ISERROR(SEARCH("Update not Provided",I50)))</formula>
    </cfRule>
    <cfRule type="containsText" dxfId="3544" priority="3843" operator="containsText" text="Not yet due">
      <formula>NOT(ISERROR(SEARCH("Not yet due",I50)))</formula>
    </cfRule>
    <cfRule type="containsText" dxfId="3543" priority="3844" operator="containsText" text="Completed Behind Schedule">
      <formula>NOT(ISERROR(SEARCH("Completed Behind Schedule",I50)))</formula>
    </cfRule>
    <cfRule type="containsText" dxfId="3542" priority="3845" operator="containsText" text="Off Target">
      <formula>NOT(ISERROR(SEARCH("Off Target",I50)))</formula>
    </cfRule>
    <cfRule type="containsText" dxfId="3541" priority="3846" operator="containsText" text="In Danger of Falling Behind Target">
      <formula>NOT(ISERROR(SEARCH("In Danger of Falling Behind Target",I50)))</formula>
    </cfRule>
    <cfRule type="containsText" dxfId="3540" priority="3847" operator="containsText" text="On Track to be Achieved">
      <formula>NOT(ISERROR(SEARCH("On Track to be Achieved",I50)))</formula>
    </cfRule>
    <cfRule type="containsText" dxfId="3539" priority="3848" operator="containsText" text="Fully Achieved">
      <formula>NOT(ISERROR(SEARCH("Fully Achieved",I50)))</formula>
    </cfRule>
    <cfRule type="containsText" dxfId="3538" priority="3849" operator="containsText" text="Fully Achieved">
      <formula>NOT(ISERROR(SEARCH("Fully Achieved",I50)))</formula>
    </cfRule>
    <cfRule type="containsText" dxfId="3537" priority="3850" operator="containsText" text="Fully Achieved">
      <formula>NOT(ISERROR(SEARCH("Fully Achieved",I50)))</formula>
    </cfRule>
    <cfRule type="containsText" dxfId="3536" priority="3851" operator="containsText" text="Deferred">
      <formula>NOT(ISERROR(SEARCH("Deferred",I50)))</formula>
    </cfRule>
    <cfRule type="containsText" dxfId="3535" priority="3852" operator="containsText" text="Deleted">
      <formula>NOT(ISERROR(SEARCH("Deleted",I50)))</formula>
    </cfRule>
    <cfRule type="containsText" dxfId="3534" priority="3853" operator="containsText" text="In Danger of Falling Behind Target">
      <formula>NOT(ISERROR(SEARCH("In Danger of Falling Behind Target",I50)))</formula>
    </cfRule>
    <cfRule type="containsText" dxfId="3533" priority="3854" operator="containsText" text="Not yet due">
      <formula>NOT(ISERROR(SEARCH("Not yet due",I50)))</formula>
    </cfRule>
    <cfRule type="containsText" dxfId="3532" priority="3855" operator="containsText" text="Update not Provided">
      <formula>NOT(ISERROR(SEARCH("Update not Provided",I50)))</formula>
    </cfRule>
  </conditionalFormatting>
  <conditionalFormatting sqref="I61">
    <cfRule type="containsText" dxfId="3531" priority="3784" operator="containsText" text="On track to be achieved">
      <formula>NOT(ISERROR(SEARCH("On track to be achieved",I61)))</formula>
    </cfRule>
    <cfRule type="containsText" dxfId="3530" priority="3785" operator="containsText" text="Deferred">
      <formula>NOT(ISERROR(SEARCH("Deferred",I61)))</formula>
    </cfRule>
    <cfRule type="containsText" dxfId="3529" priority="3786" operator="containsText" text="Deleted">
      <formula>NOT(ISERROR(SEARCH("Deleted",I61)))</formula>
    </cfRule>
    <cfRule type="containsText" dxfId="3528" priority="3787" operator="containsText" text="In Danger of Falling Behind Target">
      <formula>NOT(ISERROR(SEARCH("In Danger of Falling Behind Target",I61)))</formula>
    </cfRule>
    <cfRule type="containsText" dxfId="3527" priority="3788" operator="containsText" text="Not yet due">
      <formula>NOT(ISERROR(SEARCH("Not yet due",I61)))</formula>
    </cfRule>
    <cfRule type="containsText" dxfId="3526" priority="3789" operator="containsText" text="Update not Provided">
      <formula>NOT(ISERROR(SEARCH("Update not Provided",I61)))</formula>
    </cfRule>
    <cfRule type="containsText" dxfId="3525" priority="3790" operator="containsText" text="Not yet due">
      <formula>NOT(ISERROR(SEARCH("Not yet due",I61)))</formula>
    </cfRule>
    <cfRule type="containsText" dxfId="3524" priority="3791" operator="containsText" text="Completed Behind Schedule">
      <formula>NOT(ISERROR(SEARCH("Completed Behind Schedule",I61)))</formula>
    </cfRule>
    <cfRule type="containsText" dxfId="3523" priority="3792" operator="containsText" text="Off Target">
      <formula>NOT(ISERROR(SEARCH("Off Target",I61)))</formula>
    </cfRule>
    <cfRule type="containsText" dxfId="3522" priority="3793" operator="containsText" text="On Track to be Achieved">
      <formula>NOT(ISERROR(SEARCH("On Track to be Achieved",I61)))</formula>
    </cfRule>
    <cfRule type="containsText" dxfId="3521" priority="3794" operator="containsText" text="Fully Achieved">
      <formula>NOT(ISERROR(SEARCH("Fully Achieved",I61)))</formula>
    </cfRule>
    <cfRule type="containsText" dxfId="3520" priority="3795" operator="containsText" text="Not yet due">
      <formula>NOT(ISERROR(SEARCH("Not yet due",I61)))</formula>
    </cfRule>
    <cfRule type="containsText" dxfId="3519" priority="3796" operator="containsText" text="Not Yet Due">
      <formula>NOT(ISERROR(SEARCH("Not Yet Due",I61)))</formula>
    </cfRule>
    <cfRule type="containsText" dxfId="3518" priority="3797" operator="containsText" text="Deferred">
      <formula>NOT(ISERROR(SEARCH("Deferred",I61)))</formula>
    </cfRule>
    <cfRule type="containsText" dxfId="3517" priority="3798" operator="containsText" text="Deleted">
      <formula>NOT(ISERROR(SEARCH("Deleted",I61)))</formula>
    </cfRule>
    <cfRule type="containsText" dxfId="3516" priority="3799" operator="containsText" text="In Danger of Falling Behind Target">
      <formula>NOT(ISERROR(SEARCH("In Danger of Falling Behind Target",I61)))</formula>
    </cfRule>
    <cfRule type="containsText" dxfId="3515" priority="3800" operator="containsText" text="Not yet due">
      <formula>NOT(ISERROR(SEARCH("Not yet due",I61)))</formula>
    </cfRule>
    <cfRule type="containsText" dxfId="3514" priority="3801" operator="containsText" text="Completed Behind Schedule">
      <formula>NOT(ISERROR(SEARCH("Completed Behind Schedule",I61)))</formula>
    </cfRule>
    <cfRule type="containsText" dxfId="3513" priority="3802" operator="containsText" text="Off Target">
      <formula>NOT(ISERROR(SEARCH("Off Target",I61)))</formula>
    </cfRule>
    <cfRule type="containsText" dxfId="3512" priority="3803" operator="containsText" text="In Danger of Falling Behind Target">
      <formula>NOT(ISERROR(SEARCH("In Danger of Falling Behind Target",I61)))</formula>
    </cfRule>
    <cfRule type="containsText" dxfId="3511" priority="3804" operator="containsText" text="On Track to be Achieved">
      <formula>NOT(ISERROR(SEARCH("On Track to be Achieved",I61)))</formula>
    </cfRule>
    <cfRule type="containsText" dxfId="3510" priority="3805" operator="containsText" text="Fully Achieved">
      <formula>NOT(ISERROR(SEARCH("Fully Achieved",I61)))</formula>
    </cfRule>
    <cfRule type="containsText" dxfId="3509" priority="3806" operator="containsText" text="Update not Provided">
      <formula>NOT(ISERROR(SEARCH("Update not Provided",I61)))</formula>
    </cfRule>
    <cfRule type="containsText" dxfId="3508" priority="3807" operator="containsText" text="Not yet due">
      <formula>NOT(ISERROR(SEARCH("Not yet due",I61)))</formula>
    </cfRule>
    <cfRule type="containsText" dxfId="3507" priority="3808" operator="containsText" text="Completed Behind Schedule">
      <formula>NOT(ISERROR(SEARCH("Completed Behind Schedule",I61)))</formula>
    </cfRule>
    <cfRule type="containsText" dxfId="3506" priority="3809" operator="containsText" text="Off Target">
      <formula>NOT(ISERROR(SEARCH("Off Target",I61)))</formula>
    </cfRule>
    <cfRule type="containsText" dxfId="3505" priority="3810" operator="containsText" text="In Danger of Falling Behind Target">
      <formula>NOT(ISERROR(SEARCH("In Danger of Falling Behind Target",I61)))</formula>
    </cfRule>
    <cfRule type="containsText" dxfId="3504" priority="3811" operator="containsText" text="On Track to be Achieved">
      <formula>NOT(ISERROR(SEARCH("On Track to be Achieved",I61)))</formula>
    </cfRule>
    <cfRule type="containsText" dxfId="3503" priority="3812" operator="containsText" text="Fully Achieved">
      <formula>NOT(ISERROR(SEARCH("Fully Achieved",I61)))</formula>
    </cfRule>
    <cfRule type="containsText" dxfId="3502" priority="3813" operator="containsText" text="Fully Achieved">
      <formula>NOT(ISERROR(SEARCH("Fully Achieved",I61)))</formula>
    </cfRule>
    <cfRule type="containsText" dxfId="3501" priority="3814" operator="containsText" text="Fully Achieved">
      <formula>NOT(ISERROR(SEARCH("Fully Achieved",I61)))</formula>
    </cfRule>
    <cfRule type="containsText" dxfId="3500" priority="3815" operator="containsText" text="Deferred">
      <formula>NOT(ISERROR(SEARCH("Deferred",I61)))</formula>
    </cfRule>
    <cfRule type="containsText" dxfId="3499" priority="3816" operator="containsText" text="Deleted">
      <formula>NOT(ISERROR(SEARCH("Deleted",I61)))</formula>
    </cfRule>
    <cfRule type="containsText" dxfId="3498" priority="3817" operator="containsText" text="In Danger of Falling Behind Target">
      <formula>NOT(ISERROR(SEARCH("In Danger of Falling Behind Target",I61)))</formula>
    </cfRule>
    <cfRule type="containsText" dxfId="3497" priority="3818" operator="containsText" text="Not yet due">
      <formula>NOT(ISERROR(SEARCH("Not yet due",I61)))</formula>
    </cfRule>
    <cfRule type="containsText" dxfId="3496" priority="3819" operator="containsText" text="Update not Provided">
      <formula>NOT(ISERROR(SEARCH("Update not Provided",I61)))</formula>
    </cfRule>
  </conditionalFormatting>
  <conditionalFormatting sqref="I69:I71">
    <cfRule type="containsText" dxfId="3495" priority="3748" operator="containsText" text="On track to be achieved">
      <formula>NOT(ISERROR(SEARCH("On track to be achieved",I69)))</formula>
    </cfRule>
    <cfRule type="containsText" dxfId="3494" priority="3749" operator="containsText" text="Deferred">
      <formula>NOT(ISERROR(SEARCH("Deferred",I69)))</formula>
    </cfRule>
    <cfRule type="containsText" dxfId="3493" priority="3750" operator="containsText" text="Deleted">
      <formula>NOT(ISERROR(SEARCH("Deleted",I69)))</formula>
    </cfRule>
    <cfRule type="containsText" dxfId="3492" priority="3751" operator="containsText" text="In Danger of Falling Behind Target">
      <formula>NOT(ISERROR(SEARCH("In Danger of Falling Behind Target",I69)))</formula>
    </cfRule>
    <cfRule type="containsText" dxfId="3491" priority="3752" operator="containsText" text="Not yet due">
      <formula>NOT(ISERROR(SEARCH("Not yet due",I69)))</formula>
    </cfRule>
    <cfRule type="containsText" dxfId="3490" priority="3753" operator="containsText" text="Update not Provided">
      <formula>NOT(ISERROR(SEARCH("Update not Provided",I69)))</formula>
    </cfRule>
    <cfRule type="containsText" dxfId="3489" priority="3754" operator="containsText" text="Not yet due">
      <formula>NOT(ISERROR(SEARCH("Not yet due",I69)))</formula>
    </cfRule>
    <cfRule type="containsText" dxfId="3488" priority="3755" operator="containsText" text="Completed Behind Schedule">
      <formula>NOT(ISERROR(SEARCH("Completed Behind Schedule",I69)))</formula>
    </cfRule>
    <cfRule type="containsText" dxfId="3487" priority="3756" operator="containsText" text="Off Target">
      <formula>NOT(ISERROR(SEARCH("Off Target",I69)))</formula>
    </cfRule>
    <cfRule type="containsText" dxfId="3486" priority="3757" operator="containsText" text="On Track to be Achieved">
      <formula>NOT(ISERROR(SEARCH("On Track to be Achieved",I69)))</formula>
    </cfRule>
    <cfRule type="containsText" dxfId="3485" priority="3758" operator="containsText" text="Fully Achieved">
      <formula>NOT(ISERROR(SEARCH("Fully Achieved",I69)))</formula>
    </cfRule>
    <cfRule type="containsText" dxfId="3484" priority="3759" operator="containsText" text="Not yet due">
      <formula>NOT(ISERROR(SEARCH("Not yet due",I69)))</formula>
    </cfRule>
    <cfRule type="containsText" dxfId="3483" priority="3760" operator="containsText" text="Not Yet Due">
      <formula>NOT(ISERROR(SEARCH("Not Yet Due",I69)))</formula>
    </cfRule>
    <cfRule type="containsText" dxfId="3482" priority="3761" operator="containsText" text="Deferred">
      <formula>NOT(ISERROR(SEARCH("Deferred",I69)))</formula>
    </cfRule>
    <cfRule type="containsText" dxfId="3481" priority="3762" operator="containsText" text="Deleted">
      <formula>NOT(ISERROR(SEARCH("Deleted",I69)))</formula>
    </cfRule>
    <cfRule type="containsText" dxfId="3480" priority="3763" operator="containsText" text="In Danger of Falling Behind Target">
      <formula>NOT(ISERROR(SEARCH("In Danger of Falling Behind Target",I69)))</formula>
    </cfRule>
    <cfRule type="containsText" dxfId="3479" priority="3764" operator="containsText" text="Not yet due">
      <formula>NOT(ISERROR(SEARCH("Not yet due",I69)))</formula>
    </cfRule>
    <cfRule type="containsText" dxfId="3478" priority="3765" operator="containsText" text="Completed Behind Schedule">
      <formula>NOT(ISERROR(SEARCH("Completed Behind Schedule",I69)))</formula>
    </cfRule>
    <cfRule type="containsText" dxfId="3477" priority="3766" operator="containsText" text="Off Target">
      <formula>NOT(ISERROR(SEARCH("Off Target",I69)))</formula>
    </cfRule>
    <cfRule type="containsText" dxfId="3476" priority="3767" operator="containsText" text="In Danger of Falling Behind Target">
      <formula>NOT(ISERROR(SEARCH("In Danger of Falling Behind Target",I69)))</formula>
    </cfRule>
    <cfRule type="containsText" dxfId="3475" priority="3768" operator="containsText" text="On Track to be Achieved">
      <formula>NOT(ISERROR(SEARCH("On Track to be Achieved",I69)))</formula>
    </cfRule>
    <cfRule type="containsText" dxfId="3474" priority="3769" operator="containsText" text="Fully Achieved">
      <formula>NOT(ISERROR(SEARCH("Fully Achieved",I69)))</formula>
    </cfRule>
    <cfRule type="containsText" dxfId="3473" priority="3770" operator="containsText" text="Update not Provided">
      <formula>NOT(ISERROR(SEARCH("Update not Provided",I69)))</formula>
    </cfRule>
    <cfRule type="containsText" dxfId="3472" priority="3771" operator="containsText" text="Not yet due">
      <formula>NOT(ISERROR(SEARCH("Not yet due",I69)))</formula>
    </cfRule>
    <cfRule type="containsText" dxfId="3471" priority="3772" operator="containsText" text="Completed Behind Schedule">
      <formula>NOT(ISERROR(SEARCH("Completed Behind Schedule",I69)))</formula>
    </cfRule>
    <cfRule type="containsText" dxfId="3470" priority="3773" operator="containsText" text="Off Target">
      <formula>NOT(ISERROR(SEARCH("Off Target",I69)))</formula>
    </cfRule>
    <cfRule type="containsText" dxfId="3469" priority="3774" operator="containsText" text="In Danger of Falling Behind Target">
      <formula>NOT(ISERROR(SEARCH("In Danger of Falling Behind Target",I69)))</formula>
    </cfRule>
    <cfRule type="containsText" dxfId="3468" priority="3775" operator="containsText" text="On Track to be Achieved">
      <formula>NOT(ISERROR(SEARCH("On Track to be Achieved",I69)))</formula>
    </cfRule>
    <cfRule type="containsText" dxfId="3467" priority="3776" operator="containsText" text="Fully Achieved">
      <formula>NOT(ISERROR(SEARCH("Fully Achieved",I69)))</formula>
    </cfRule>
    <cfRule type="containsText" dxfId="3466" priority="3777" operator="containsText" text="Fully Achieved">
      <formula>NOT(ISERROR(SEARCH("Fully Achieved",I69)))</formula>
    </cfRule>
    <cfRule type="containsText" dxfId="3465" priority="3778" operator="containsText" text="Fully Achieved">
      <formula>NOT(ISERROR(SEARCH("Fully Achieved",I69)))</formula>
    </cfRule>
    <cfRule type="containsText" dxfId="3464" priority="3779" operator="containsText" text="Deferred">
      <formula>NOT(ISERROR(SEARCH("Deferred",I69)))</formula>
    </cfRule>
    <cfRule type="containsText" dxfId="3463" priority="3780" operator="containsText" text="Deleted">
      <formula>NOT(ISERROR(SEARCH("Deleted",I69)))</formula>
    </cfRule>
    <cfRule type="containsText" dxfId="3462" priority="3781" operator="containsText" text="In Danger of Falling Behind Target">
      <formula>NOT(ISERROR(SEARCH("In Danger of Falling Behind Target",I69)))</formula>
    </cfRule>
    <cfRule type="containsText" dxfId="3461" priority="3782" operator="containsText" text="Not yet due">
      <formula>NOT(ISERROR(SEARCH("Not yet due",I69)))</formula>
    </cfRule>
    <cfRule type="containsText" dxfId="3460" priority="3783" operator="containsText" text="Update not Provided">
      <formula>NOT(ISERROR(SEARCH("Update not Provided",I69)))</formula>
    </cfRule>
  </conditionalFormatting>
  <conditionalFormatting sqref="I83">
    <cfRule type="containsText" dxfId="3459" priority="3712" operator="containsText" text="On track to be achieved">
      <formula>NOT(ISERROR(SEARCH("On track to be achieved",I83)))</formula>
    </cfRule>
    <cfRule type="containsText" dxfId="3458" priority="3713" operator="containsText" text="Deferred">
      <formula>NOT(ISERROR(SEARCH("Deferred",I83)))</formula>
    </cfRule>
    <cfRule type="containsText" dxfId="3457" priority="3714" operator="containsText" text="Deleted">
      <formula>NOT(ISERROR(SEARCH("Deleted",I83)))</formula>
    </cfRule>
    <cfRule type="containsText" dxfId="3456" priority="3715" operator="containsText" text="In Danger of Falling Behind Target">
      <formula>NOT(ISERROR(SEARCH("In Danger of Falling Behind Target",I83)))</formula>
    </cfRule>
    <cfRule type="containsText" dxfId="3455" priority="3716" operator="containsText" text="Not yet due">
      <formula>NOT(ISERROR(SEARCH("Not yet due",I83)))</formula>
    </cfRule>
    <cfRule type="containsText" dxfId="3454" priority="3717" operator="containsText" text="Update not Provided">
      <formula>NOT(ISERROR(SEARCH("Update not Provided",I83)))</formula>
    </cfRule>
    <cfRule type="containsText" dxfId="3453" priority="3718" operator="containsText" text="Not yet due">
      <formula>NOT(ISERROR(SEARCH("Not yet due",I83)))</formula>
    </cfRule>
    <cfRule type="containsText" dxfId="3452" priority="3719" operator="containsText" text="Completed Behind Schedule">
      <formula>NOT(ISERROR(SEARCH("Completed Behind Schedule",I83)))</formula>
    </cfRule>
    <cfRule type="containsText" dxfId="3451" priority="3720" operator="containsText" text="Off Target">
      <formula>NOT(ISERROR(SEARCH("Off Target",I83)))</formula>
    </cfRule>
    <cfRule type="containsText" dxfId="3450" priority="3721" operator="containsText" text="On Track to be Achieved">
      <formula>NOT(ISERROR(SEARCH("On Track to be Achieved",I83)))</formula>
    </cfRule>
    <cfRule type="containsText" dxfId="3449" priority="3722" operator="containsText" text="Fully Achieved">
      <formula>NOT(ISERROR(SEARCH("Fully Achieved",I83)))</formula>
    </cfRule>
    <cfRule type="containsText" dxfId="3448" priority="3723" operator="containsText" text="Not yet due">
      <formula>NOT(ISERROR(SEARCH("Not yet due",I83)))</formula>
    </cfRule>
    <cfRule type="containsText" dxfId="3447" priority="3724" operator="containsText" text="Not Yet Due">
      <formula>NOT(ISERROR(SEARCH("Not Yet Due",I83)))</formula>
    </cfRule>
    <cfRule type="containsText" dxfId="3446" priority="3725" operator="containsText" text="Deferred">
      <formula>NOT(ISERROR(SEARCH("Deferred",I83)))</formula>
    </cfRule>
    <cfRule type="containsText" dxfId="3445" priority="3726" operator="containsText" text="Deleted">
      <formula>NOT(ISERROR(SEARCH("Deleted",I83)))</formula>
    </cfRule>
    <cfRule type="containsText" dxfId="3444" priority="3727" operator="containsText" text="In Danger of Falling Behind Target">
      <formula>NOT(ISERROR(SEARCH("In Danger of Falling Behind Target",I83)))</formula>
    </cfRule>
    <cfRule type="containsText" dxfId="3443" priority="3728" operator="containsText" text="Not yet due">
      <formula>NOT(ISERROR(SEARCH("Not yet due",I83)))</formula>
    </cfRule>
    <cfRule type="containsText" dxfId="3442" priority="3729" operator="containsText" text="Completed Behind Schedule">
      <formula>NOT(ISERROR(SEARCH("Completed Behind Schedule",I83)))</formula>
    </cfRule>
    <cfRule type="containsText" dxfId="3441" priority="3730" operator="containsText" text="Off Target">
      <formula>NOT(ISERROR(SEARCH("Off Target",I83)))</formula>
    </cfRule>
    <cfRule type="containsText" dxfId="3440" priority="3731" operator="containsText" text="In Danger of Falling Behind Target">
      <formula>NOT(ISERROR(SEARCH("In Danger of Falling Behind Target",I83)))</formula>
    </cfRule>
    <cfRule type="containsText" dxfId="3439" priority="3732" operator="containsText" text="On Track to be Achieved">
      <formula>NOT(ISERROR(SEARCH("On Track to be Achieved",I83)))</formula>
    </cfRule>
    <cfRule type="containsText" dxfId="3438" priority="3733" operator="containsText" text="Fully Achieved">
      <formula>NOT(ISERROR(SEARCH("Fully Achieved",I83)))</formula>
    </cfRule>
    <cfRule type="containsText" dxfId="3437" priority="3734" operator="containsText" text="Update not Provided">
      <formula>NOT(ISERROR(SEARCH("Update not Provided",I83)))</formula>
    </cfRule>
    <cfRule type="containsText" dxfId="3436" priority="3735" operator="containsText" text="Not yet due">
      <formula>NOT(ISERROR(SEARCH("Not yet due",I83)))</formula>
    </cfRule>
    <cfRule type="containsText" dxfId="3435" priority="3736" operator="containsText" text="Completed Behind Schedule">
      <formula>NOT(ISERROR(SEARCH("Completed Behind Schedule",I83)))</formula>
    </cfRule>
    <cfRule type="containsText" dxfId="3434" priority="3737" operator="containsText" text="Off Target">
      <formula>NOT(ISERROR(SEARCH("Off Target",I83)))</formula>
    </cfRule>
    <cfRule type="containsText" dxfId="3433" priority="3738" operator="containsText" text="In Danger of Falling Behind Target">
      <formula>NOT(ISERROR(SEARCH("In Danger of Falling Behind Target",I83)))</formula>
    </cfRule>
    <cfRule type="containsText" dxfId="3432" priority="3739" operator="containsText" text="On Track to be Achieved">
      <formula>NOT(ISERROR(SEARCH("On Track to be Achieved",I83)))</formula>
    </cfRule>
    <cfRule type="containsText" dxfId="3431" priority="3740" operator="containsText" text="Fully Achieved">
      <formula>NOT(ISERROR(SEARCH("Fully Achieved",I83)))</formula>
    </cfRule>
    <cfRule type="containsText" dxfId="3430" priority="3741" operator="containsText" text="Fully Achieved">
      <formula>NOT(ISERROR(SEARCH("Fully Achieved",I83)))</formula>
    </cfRule>
    <cfRule type="containsText" dxfId="3429" priority="3742" operator="containsText" text="Fully Achieved">
      <formula>NOT(ISERROR(SEARCH("Fully Achieved",I83)))</formula>
    </cfRule>
    <cfRule type="containsText" dxfId="3428" priority="3743" operator="containsText" text="Deferred">
      <formula>NOT(ISERROR(SEARCH("Deferred",I83)))</formula>
    </cfRule>
    <cfRule type="containsText" dxfId="3427" priority="3744" operator="containsText" text="Deleted">
      <formula>NOT(ISERROR(SEARCH("Deleted",I83)))</formula>
    </cfRule>
    <cfRule type="containsText" dxfId="3426" priority="3745" operator="containsText" text="In Danger of Falling Behind Target">
      <formula>NOT(ISERROR(SEARCH("In Danger of Falling Behind Target",I83)))</formula>
    </cfRule>
    <cfRule type="containsText" dxfId="3425" priority="3746" operator="containsText" text="Not yet due">
      <formula>NOT(ISERROR(SEARCH("Not yet due",I83)))</formula>
    </cfRule>
    <cfRule type="containsText" dxfId="3424" priority="3747" operator="containsText" text="Update not Provided">
      <formula>NOT(ISERROR(SEARCH("Update not Provided",I83)))</formula>
    </cfRule>
  </conditionalFormatting>
  <conditionalFormatting sqref="G3:G25 G27:G28">
    <cfRule type="containsText" dxfId="3423" priority="3676" operator="containsText" text="On track to be achieved">
      <formula>NOT(ISERROR(SEARCH("On track to be achieved",G3)))</formula>
    </cfRule>
    <cfRule type="containsText" dxfId="3422" priority="3677" operator="containsText" text="Deferred">
      <formula>NOT(ISERROR(SEARCH("Deferred",G3)))</formula>
    </cfRule>
    <cfRule type="containsText" dxfId="3421" priority="3678" operator="containsText" text="Deleted">
      <formula>NOT(ISERROR(SEARCH("Deleted",G3)))</formula>
    </cfRule>
    <cfRule type="containsText" dxfId="3420" priority="3679" operator="containsText" text="In Danger of Falling Behind Target">
      <formula>NOT(ISERROR(SEARCH("In Danger of Falling Behind Target",G3)))</formula>
    </cfRule>
    <cfRule type="containsText" dxfId="3419" priority="3680" operator="containsText" text="Not yet due">
      <formula>NOT(ISERROR(SEARCH("Not yet due",G3)))</formula>
    </cfRule>
    <cfRule type="containsText" dxfId="3418" priority="3681" operator="containsText" text="Update not Provided">
      <formula>NOT(ISERROR(SEARCH("Update not Provided",G3)))</formula>
    </cfRule>
    <cfRule type="containsText" dxfId="3417" priority="3682" operator="containsText" text="Not yet due">
      <formula>NOT(ISERROR(SEARCH("Not yet due",G3)))</formula>
    </cfRule>
    <cfRule type="containsText" dxfId="3416" priority="3683" operator="containsText" text="Completed Behind Schedule">
      <formula>NOT(ISERROR(SEARCH("Completed Behind Schedule",G3)))</formula>
    </cfRule>
    <cfRule type="containsText" dxfId="3415" priority="3684" operator="containsText" text="Off Target">
      <formula>NOT(ISERROR(SEARCH("Off Target",G3)))</formula>
    </cfRule>
    <cfRule type="containsText" dxfId="3414" priority="3685" operator="containsText" text="On Track to be Achieved">
      <formula>NOT(ISERROR(SEARCH("On Track to be Achieved",G3)))</formula>
    </cfRule>
    <cfRule type="containsText" dxfId="3413" priority="3686" operator="containsText" text="Fully Achieved">
      <formula>NOT(ISERROR(SEARCH("Fully Achieved",G3)))</formula>
    </cfRule>
    <cfRule type="containsText" dxfId="3412" priority="3687" operator="containsText" text="Not yet due">
      <formula>NOT(ISERROR(SEARCH("Not yet due",G3)))</formula>
    </cfRule>
    <cfRule type="containsText" dxfId="3411" priority="3688" operator="containsText" text="Not Yet Due">
      <formula>NOT(ISERROR(SEARCH("Not Yet Due",G3)))</formula>
    </cfRule>
    <cfRule type="containsText" dxfId="3410" priority="3689" operator="containsText" text="Deferred">
      <formula>NOT(ISERROR(SEARCH("Deferred",G3)))</formula>
    </cfRule>
    <cfRule type="containsText" dxfId="3409" priority="3690" operator="containsText" text="Deleted">
      <formula>NOT(ISERROR(SEARCH("Deleted",G3)))</formula>
    </cfRule>
    <cfRule type="containsText" dxfId="3408" priority="3691" operator="containsText" text="In Danger of Falling Behind Target">
      <formula>NOT(ISERROR(SEARCH("In Danger of Falling Behind Target",G3)))</formula>
    </cfRule>
    <cfRule type="containsText" dxfId="3407" priority="3692" operator="containsText" text="Not yet due">
      <formula>NOT(ISERROR(SEARCH("Not yet due",G3)))</formula>
    </cfRule>
    <cfRule type="containsText" dxfId="3406" priority="3693" operator="containsText" text="Completed Behind Schedule">
      <formula>NOT(ISERROR(SEARCH("Completed Behind Schedule",G3)))</formula>
    </cfRule>
    <cfRule type="containsText" dxfId="3405" priority="3694" operator="containsText" text="Off Target">
      <formula>NOT(ISERROR(SEARCH("Off Target",G3)))</formula>
    </cfRule>
    <cfRule type="containsText" dxfId="3404" priority="3695" operator="containsText" text="In Danger of Falling Behind Target">
      <formula>NOT(ISERROR(SEARCH("In Danger of Falling Behind Target",G3)))</formula>
    </cfRule>
    <cfRule type="containsText" dxfId="3403" priority="3696" operator="containsText" text="On Track to be Achieved">
      <formula>NOT(ISERROR(SEARCH("On Track to be Achieved",G3)))</formula>
    </cfRule>
    <cfRule type="containsText" dxfId="3402" priority="3697" operator="containsText" text="Fully Achieved">
      <formula>NOT(ISERROR(SEARCH("Fully Achieved",G3)))</formula>
    </cfRule>
    <cfRule type="containsText" dxfId="3401" priority="3698" operator="containsText" text="Update not Provided">
      <formula>NOT(ISERROR(SEARCH("Update not Provided",G3)))</formula>
    </cfRule>
    <cfRule type="containsText" dxfId="3400" priority="3699" operator="containsText" text="Not yet due">
      <formula>NOT(ISERROR(SEARCH("Not yet due",G3)))</formula>
    </cfRule>
    <cfRule type="containsText" dxfId="3399" priority="3700" operator="containsText" text="Completed Behind Schedule">
      <formula>NOT(ISERROR(SEARCH("Completed Behind Schedule",G3)))</formula>
    </cfRule>
    <cfRule type="containsText" dxfId="3398" priority="3701" operator="containsText" text="Off Target">
      <formula>NOT(ISERROR(SEARCH("Off Target",G3)))</formula>
    </cfRule>
    <cfRule type="containsText" dxfId="3397" priority="3702" operator="containsText" text="In Danger of Falling Behind Target">
      <formula>NOT(ISERROR(SEARCH("In Danger of Falling Behind Target",G3)))</formula>
    </cfRule>
    <cfRule type="containsText" dxfId="3396" priority="3703" operator="containsText" text="On Track to be Achieved">
      <formula>NOT(ISERROR(SEARCH("On Track to be Achieved",G3)))</formula>
    </cfRule>
    <cfRule type="containsText" dxfId="3395" priority="3704" operator="containsText" text="Fully Achieved">
      <formula>NOT(ISERROR(SEARCH("Fully Achieved",G3)))</formula>
    </cfRule>
    <cfRule type="containsText" dxfId="3394" priority="3705" operator="containsText" text="Fully Achieved">
      <formula>NOT(ISERROR(SEARCH("Fully Achieved",G3)))</formula>
    </cfRule>
    <cfRule type="containsText" dxfId="3393" priority="3706" operator="containsText" text="Fully Achieved">
      <formula>NOT(ISERROR(SEARCH("Fully Achieved",G3)))</formula>
    </cfRule>
    <cfRule type="containsText" dxfId="3392" priority="3707" operator="containsText" text="Deferred">
      <formula>NOT(ISERROR(SEARCH("Deferred",G3)))</formula>
    </cfRule>
    <cfRule type="containsText" dxfId="3391" priority="3708" operator="containsText" text="Deleted">
      <formula>NOT(ISERROR(SEARCH("Deleted",G3)))</formula>
    </cfRule>
    <cfRule type="containsText" dxfId="3390" priority="3709" operator="containsText" text="In Danger of Falling Behind Target">
      <formula>NOT(ISERROR(SEARCH("In Danger of Falling Behind Target",G3)))</formula>
    </cfRule>
    <cfRule type="containsText" dxfId="3389" priority="3710" operator="containsText" text="Not yet due">
      <formula>NOT(ISERROR(SEARCH("Not yet due",G3)))</formula>
    </cfRule>
    <cfRule type="containsText" dxfId="3388" priority="3711" operator="containsText" text="Update not Provided">
      <formula>NOT(ISERROR(SEARCH("Update not Provided",G3)))</formula>
    </cfRule>
  </conditionalFormatting>
  <conditionalFormatting sqref="G29">
    <cfRule type="containsText" dxfId="3387" priority="3640" operator="containsText" text="On track to be achieved">
      <formula>NOT(ISERROR(SEARCH("On track to be achieved",G29)))</formula>
    </cfRule>
    <cfRule type="containsText" dxfId="3386" priority="3641" operator="containsText" text="Deferred">
      <formula>NOT(ISERROR(SEARCH("Deferred",G29)))</formula>
    </cfRule>
    <cfRule type="containsText" dxfId="3385" priority="3642" operator="containsText" text="Deleted">
      <formula>NOT(ISERROR(SEARCH("Deleted",G29)))</formula>
    </cfRule>
    <cfRule type="containsText" dxfId="3384" priority="3643" operator="containsText" text="In Danger of Falling Behind Target">
      <formula>NOT(ISERROR(SEARCH("In Danger of Falling Behind Target",G29)))</formula>
    </cfRule>
    <cfRule type="containsText" dxfId="3383" priority="3644" operator="containsText" text="Not yet due">
      <formula>NOT(ISERROR(SEARCH("Not yet due",G29)))</formula>
    </cfRule>
    <cfRule type="containsText" dxfId="3382" priority="3645" operator="containsText" text="Update not Provided">
      <formula>NOT(ISERROR(SEARCH("Update not Provided",G29)))</formula>
    </cfRule>
    <cfRule type="containsText" dxfId="3381" priority="3646" operator="containsText" text="Not yet due">
      <formula>NOT(ISERROR(SEARCH("Not yet due",G29)))</formula>
    </cfRule>
    <cfRule type="containsText" dxfId="3380" priority="3647" operator="containsText" text="Completed Behind Schedule">
      <formula>NOT(ISERROR(SEARCH("Completed Behind Schedule",G29)))</formula>
    </cfRule>
    <cfRule type="containsText" dxfId="3379" priority="3648" operator="containsText" text="Off Target">
      <formula>NOT(ISERROR(SEARCH("Off Target",G29)))</formula>
    </cfRule>
    <cfRule type="containsText" dxfId="3378" priority="3649" operator="containsText" text="On Track to be Achieved">
      <formula>NOT(ISERROR(SEARCH("On Track to be Achieved",G29)))</formula>
    </cfRule>
    <cfRule type="containsText" dxfId="3377" priority="3650" operator="containsText" text="Fully Achieved">
      <formula>NOT(ISERROR(SEARCH("Fully Achieved",G29)))</formula>
    </cfRule>
    <cfRule type="containsText" dxfId="3376" priority="3651" operator="containsText" text="Not yet due">
      <formula>NOT(ISERROR(SEARCH("Not yet due",G29)))</formula>
    </cfRule>
    <cfRule type="containsText" dxfId="3375" priority="3652" operator="containsText" text="Not Yet Due">
      <formula>NOT(ISERROR(SEARCH("Not Yet Due",G29)))</formula>
    </cfRule>
    <cfRule type="containsText" dxfId="3374" priority="3653" operator="containsText" text="Deferred">
      <formula>NOT(ISERROR(SEARCH("Deferred",G29)))</formula>
    </cfRule>
    <cfRule type="containsText" dxfId="3373" priority="3654" operator="containsText" text="Deleted">
      <formula>NOT(ISERROR(SEARCH("Deleted",G29)))</formula>
    </cfRule>
    <cfRule type="containsText" dxfId="3372" priority="3655" operator="containsText" text="In Danger of Falling Behind Target">
      <formula>NOT(ISERROR(SEARCH("In Danger of Falling Behind Target",G29)))</formula>
    </cfRule>
    <cfRule type="containsText" dxfId="3371" priority="3656" operator="containsText" text="Not yet due">
      <formula>NOT(ISERROR(SEARCH("Not yet due",G29)))</formula>
    </cfRule>
    <cfRule type="containsText" dxfId="3370" priority="3657" operator="containsText" text="Completed Behind Schedule">
      <formula>NOT(ISERROR(SEARCH("Completed Behind Schedule",G29)))</formula>
    </cfRule>
    <cfRule type="containsText" dxfId="3369" priority="3658" operator="containsText" text="Off Target">
      <formula>NOT(ISERROR(SEARCH("Off Target",G29)))</formula>
    </cfRule>
    <cfRule type="containsText" dxfId="3368" priority="3659" operator="containsText" text="In Danger of Falling Behind Target">
      <formula>NOT(ISERROR(SEARCH("In Danger of Falling Behind Target",G29)))</formula>
    </cfRule>
    <cfRule type="containsText" dxfId="3367" priority="3660" operator="containsText" text="On Track to be Achieved">
      <formula>NOT(ISERROR(SEARCH("On Track to be Achieved",G29)))</formula>
    </cfRule>
    <cfRule type="containsText" dxfId="3366" priority="3661" operator="containsText" text="Fully Achieved">
      <formula>NOT(ISERROR(SEARCH("Fully Achieved",G29)))</formula>
    </cfRule>
    <cfRule type="containsText" dxfId="3365" priority="3662" operator="containsText" text="Update not Provided">
      <formula>NOT(ISERROR(SEARCH("Update not Provided",G29)))</formula>
    </cfRule>
    <cfRule type="containsText" dxfId="3364" priority="3663" operator="containsText" text="Not yet due">
      <formula>NOT(ISERROR(SEARCH("Not yet due",G29)))</formula>
    </cfRule>
    <cfRule type="containsText" dxfId="3363" priority="3664" operator="containsText" text="Completed Behind Schedule">
      <formula>NOT(ISERROR(SEARCH("Completed Behind Schedule",G29)))</formula>
    </cfRule>
    <cfRule type="containsText" dxfId="3362" priority="3665" operator="containsText" text="Off Target">
      <formula>NOT(ISERROR(SEARCH("Off Target",G29)))</formula>
    </cfRule>
    <cfRule type="containsText" dxfId="3361" priority="3666" operator="containsText" text="In Danger of Falling Behind Target">
      <formula>NOT(ISERROR(SEARCH("In Danger of Falling Behind Target",G29)))</formula>
    </cfRule>
    <cfRule type="containsText" dxfId="3360" priority="3667" operator="containsText" text="On Track to be Achieved">
      <formula>NOT(ISERROR(SEARCH("On Track to be Achieved",G29)))</formula>
    </cfRule>
    <cfRule type="containsText" dxfId="3359" priority="3668" operator="containsText" text="Fully Achieved">
      <formula>NOT(ISERROR(SEARCH("Fully Achieved",G29)))</formula>
    </cfRule>
    <cfRule type="containsText" dxfId="3358" priority="3669" operator="containsText" text="Fully Achieved">
      <formula>NOT(ISERROR(SEARCH("Fully Achieved",G29)))</formula>
    </cfRule>
    <cfRule type="containsText" dxfId="3357" priority="3670" operator="containsText" text="Fully Achieved">
      <formula>NOT(ISERROR(SEARCH("Fully Achieved",G29)))</formula>
    </cfRule>
    <cfRule type="containsText" dxfId="3356" priority="3671" operator="containsText" text="Deferred">
      <formula>NOT(ISERROR(SEARCH("Deferred",G29)))</formula>
    </cfRule>
    <cfRule type="containsText" dxfId="3355" priority="3672" operator="containsText" text="Deleted">
      <formula>NOT(ISERROR(SEARCH("Deleted",G29)))</formula>
    </cfRule>
    <cfRule type="containsText" dxfId="3354" priority="3673" operator="containsText" text="In Danger of Falling Behind Target">
      <formula>NOT(ISERROR(SEARCH("In Danger of Falling Behind Target",G29)))</formula>
    </cfRule>
    <cfRule type="containsText" dxfId="3353" priority="3674" operator="containsText" text="Not yet due">
      <formula>NOT(ISERROR(SEARCH("Not yet due",G29)))</formula>
    </cfRule>
    <cfRule type="containsText" dxfId="3352" priority="3675" operator="containsText" text="Update not Provided">
      <formula>NOT(ISERROR(SEARCH("Update not Provided",G29)))</formula>
    </cfRule>
  </conditionalFormatting>
  <conditionalFormatting sqref="G30:G37">
    <cfRule type="containsText" dxfId="3351" priority="3604" operator="containsText" text="On track to be achieved">
      <formula>NOT(ISERROR(SEARCH("On track to be achieved",G30)))</formula>
    </cfRule>
    <cfRule type="containsText" dxfId="3350" priority="3605" operator="containsText" text="Deferred">
      <formula>NOT(ISERROR(SEARCH("Deferred",G30)))</formula>
    </cfRule>
    <cfRule type="containsText" dxfId="3349" priority="3606" operator="containsText" text="Deleted">
      <formula>NOT(ISERROR(SEARCH("Deleted",G30)))</formula>
    </cfRule>
    <cfRule type="containsText" dxfId="3348" priority="3607" operator="containsText" text="In Danger of Falling Behind Target">
      <formula>NOT(ISERROR(SEARCH("In Danger of Falling Behind Target",G30)))</formula>
    </cfRule>
    <cfRule type="containsText" dxfId="3347" priority="3608" operator="containsText" text="Not yet due">
      <formula>NOT(ISERROR(SEARCH("Not yet due",G30)))</formula>
    </cfRule>
    <cfRule type="containsText" dxfId="3346" priority="3609" operator="containsText" text="Update not Provided">
      <formula>NOT(ISERROR(SEARCH("Update not Provided",G30)))</formula>
    </cfRule>
    <cfRule type="containsText" dxfId="3345" priority="3610" operator="containsText" text="Not yet due">
      <formula>NOT(ISERROR(SEARCH("Not yet due",G30)))</formula>
    </cfRule>
    <cfRule type="containsText" dxfId="3344" priority="3611" operator="containsText" text="Completed Behind Schedule">
      <formula>NOT(ISERROR(SEARCH("Completed Behind Schedule",G30)))</formula>
    </cfRule>
    <cfRule type="containsText" dxfId="3343" priority="3612" operator="containsText" text="Off Target">
      <formula>NOT(ISERROR(SEARCH("Off Target",G30)))</formula>
    </cfRule>
    <cfRule type="containsText" dxfId="3342" priority="3613" operator="containsText" text="On Track to be Achieved">
      <formula>NOT(ISERROR(SEARCH("On Track to be Achieved",G30)))</formula>
    </cfRule>
    <cfRule type="containsText" dxfId="3341" priority="3614" operator="containsText" text="Fully Achieved">
      <formula>NOT(ISERROR(SEARCH("Fully Achieved",G30)))</formula>
    </cfRule>
    <cfRule type="containsText" dxfId="3340" priority="3615" operator="containsText" text="Not yet due">
      <formula>NOT(ISERROR(SEARCH("Not yet due",G30)))</formula>
    </cfRule>
    <cfRule type="containsText" dxfId="3339" priority="3616" operator="containsText" text="Not Yet Due">
      <formula>NOT(ISERROR(SEARCH("Not Yet Due",G30)))</formula>
    </cfRule>
    <cfRule type="containsText" dxfId="3338" priority="3617" operator="containsText" text="Deferred">
      <formula>NOT(ISERROR(SEARCH("Deferred",G30)))</formula>
    </cfRule>
    <cfRule type="containsText" dxfId="3337" priority="3618" operator="containsText" text="Deleted">
      <formula>NOT(ISERROR(SEARCH("Deleted",G30)))</formula>
    </cfRule>
    <cfRule type="containsText" dxfId="3336" priority="3619" operator="containsText" text="In Danger of Falling Behind Target">
      <formula>NOT(ISERROR(SEARCH("In Danger of Falling Behind Target",G30)))</formula>
    </cfRule>
    <cfRule type="containsText" dxfId="3335" priority="3620" operator="containsText" text="Not yet due">
      <formula>NOT(ISERROR(SEARCH("Not yet due",G30)))</formula>
    </cfRule>
    <cfRule type="containsText" dxfId="3334" priority="3621" operator="containsText" text="Completed Behind Schedule">
      <formula>NOT(ISERROR(SEARCH("Completed Behind Schedule",G30)))</formula>
    </cfRule>
    <cfRule type="containsText" dxfId="3333" priority="3622" operator="containsText" text="Off Target">
      <formula>NOT(ISERROR(SEARCH("Off Target",G30)))</formula>
    </cfRule>
    <cfRule type="containsText" dxfId="3332" priority="3623" operator="containsText" text="In Danger of Falling Behind Target">
      <formula>NOT(ISERROR(SEARCH("In Danger of Falling Behind Target",G30)))</formula>
    </cfRule>
    <cfRule type="containsText" dxfId="3331" priority="3624" operator="containsText" text="On Track to be Achieved">
      <formula>NOT(ISERROR(SEARCH("On Track to be Achieved",G30)))</formula>
    </cfRule>
    <cfRule type="containsText" dxfId="3330" priority="3625" operator="containsText" text="Fully Achieved">
      <formula>NOT(ISERROR(SEARCH("Fully Achieved",G30)))</formula>
    </cfRule>
    <cfRule type="containsText" dxfId="3329" priority="3626" operator="containsText" text="Update not Provided">
      <formula>NOT(ISERROR(SEARCH("Update not Provided",G30)))</formula>
    </cfRule>
    <cfRule type="containsText" dxfId="3328" priority="3627" operator="containsText" text="Not yet due">
      <formula>NOT(ISERROR(SEARCH("Not yet due",G30)))</formula>
    </cfRule>
    <cfRule type="containsText" dxfId="3327" priority="3628" operator="containsText" text="Completed Behind Schedule">
      <formula>NOT(ISERROR(SEARCH("Completed Behind Schedule",G30)))</formula>
    </cfRule>
    <cfRule type="containsText" dxfId="3326" priority="3629" operator="containsText" text="Off Target">
      <formula>NOT(ISERROR(SEARCH("Off Target",G30)))</formula>
    </cfRule>
    <cfRule type="containsText" dxfId="3325" priority="3630" operator="containsText" text="In Danger of Falling Behind Target">
      <formula>NOT(ISERROR(SEARCH("In Danger of Falling Behind Target",G30)))</formula>
    </cfRule>
    <cfRule type="containsText" dxfId="3324" priority="3631" operator="containsText" text="On Track to be Achieved">
      <formula>NOT(ISERROR(SEARCH("On Track to be Achieved",G30)))</formula>
    </cfRule>
    <cfRule type="containsText" dxfId="3323" priority="3632" operator="containsText" text="Fully Achieved">
      <formula>NOT(ISERROR(SEARCH("Fully Achieved",G30)))</formula>
    </cfRule>
    <cfRule type="containsText" dxfId="3322" priority="3633" operator="containsText" text="Fully Achieved">
      <formula>NOT(ISERROR(SEARCH("Fully Achieved",G30)))</formula>
    </cfRule>
    <cfRule type="containsText" dxfId="3321" priority="3634" operator="containsText" text="Fully Achieved">
      <formula>NOT(ISERROR(SEARCH("Fully Achieved",G30)))</formula>
    </cfRule>
    <cfRule type="containsText" dxfId="3320" priority="3635" operator="containsText" text="Deferred">
      <formula>NOT(ISERROR(SEARCH("Deferred",G30)))</formula>
    </cfRule>
    <cfRule type="containsText" dxfId="3319" priority="3636" operator="containsText" text="Deleted">
      <formula>NOT(ISERROR(SEARCH("Deleted",G30)))</formula>
    </cfRule>
    <cfRule type="containsText" dxfId="3318" priority="3637" operator="containsText" text="In Danger of Falling Behind Target">
      <formula>NOT(ISERROR(SEARCH("In Danger of Falling Behind Target",G30)))</formula>
    </cfRule>
    <cfRule type="containsText" dxfId="3317" priority="3638" operator="containsText" text="Not yet due">
      <formula>NOT(ISERROR(SEARCH("Not yet due",G30)))</formula>
    </cfRule>
    <cfRule type="containsText" dxfId="3316" priority="3639" operator="containsText" text="Update not Provided">
      <formula>NOT(ISERROR(SEARCH("Update not Provided",G30)))</formula>
    </cfRule>
  </conditionalFormatting>
  <conditionalFormatting sqref="G38:G39">
    <cfRule type="containsText" dxfId="3315" priority="3568" operator="containsText" text="On track to be achieved">
      <formula>NOT(ISERROR(SEARCH("On track to be achieved",G38)))</formula>
    </cfRule>
    <cfRule type="containsText" dxfId="3314" priority="3569" operator="containsText" text="Deferred">
      <formula>NOT(ISERROR(SEARCH("Deferred",G38)))</formula>
    </cfRule>
    <cfRule type="containsText" dxfId="3313" priority="3570" operator="containsText" text="Deleted">
      <formula>NOT(ISERROR(SEARCH("Deleted",G38)))</formula>
    </cfRule>
    <cfRule type="containsText" dxfId="3312" priority="3571" operator="containsText" text="In Danger of Falling Behind Target">
      <formula>NOT(ISERROR(SEARCH("In Danger of Falling Behind Target",G38)))</formula>
    </cfRule>
    <cfRule type="containsText" dxfId="3311" priority="3572" operator="containsText" text="Not yet due">
      <formula>NOT(ISERROR(SEARCH("Not yet due",G38)))</formula>
    </cfRule>
    <cfRule type="containsText" dxfId="3310" priority="3573" operator="containsText" text="Update not Provided">
      <formula>NOT(ISERROR(SEARCH("Update not Provided",G38)))</formula>
    </cfRule>
    <cfRule type="containsText" dxfId="3309" priority="3574" operator="containsText" text="Not yet due">
      <formula>NOT(ISERROR(SEARCH("Not yet due",G38)))</formula>
    </cfRule>
    <cfRule type="containsText" dxfId="3308" priority="3575" operator="containsText" text="Completed Behind Schedule">
      <formula>NOT(ISERROR(SEARCH("Completed Behind Schedule",G38)))</formula>
    </cfRule>
    <cfRule type="containsText" dxfId="3307" priority="3576" operator="containsText" text="Off Target">
      <formula>NOT(ISERROR(SEARCH("Off Target",G38)))</formula>
    </cfRule>
    <cfRule type="containsText" dxfId="3306" priority="3577" operator="containsText" text="On Track to be Achieved">
      <formula>NOT(ISERROR(SEARCH("On Track to be Achieved",G38)))</formula>
    </cfRule>
    <cfRule type="containsText" dxfId="3305" priority="3578" operator="containsText" text="Fully Achieved">
      <formula>NOT(ISERROR(SEARCH("Fully Achieved",G38)))</formula>
    </cfRule>
    <cfRule type="containsText" dxfId="3304" priority="3579" operator="containsText" text="Not yet due">
      <formula>NOT(ISERROR(SEARCH("Not yet due",G38)))</formula>
    </cfRule>
    <cfRule type="containsText" dxfId="3303" priority="3580" operator="containsText" text="Not Yet Due">
      <formula>NOT(ISERROR(SEARCH("Not Yet Due",G38)))</formula>
    </cfRule>
    <cfRule type="containsText" dxfId="3302" priority="3581" operator="containsText" text="Deferred">
      <formula>NOT(ISERROR(SEARCH("Deferred",G38)))</formula>
    </cfRule>
    <cfRule type="containsText" dxfId="3301" priority="3582" operator="containsText" text="Deleted">
      <formula>NOT(ISERROR(SEARCH("Deleted",G38)))</formula>
    </cfRule>
    <cfRule type="containsText" dxfId="3300" priority="3583" operator="containsText" text="In Danger of Falling Behind Target">
      <formula>NOT(ISERROR(SEARCH("In Danger of Falling Behind Target",G38)))</formula>
    </cfRule>
    <cfRule type="containsText" dxfId="3299" priority="3584" operator="containsText" text="Not yet due">
      <formula>NOT(ISERROR(SEARCH("Not yet due",G38)))</formula>
    </cfRule>
    <cfRule type="containsText" dxfId="3298" priority="3585" operator="containsText" text="Completed Behind Schedule">
      <formula>NOT(ISERROR(SEARCH("Completed Behind Schedule",G38)))</formula>
    </cfRule>
    <cfRule type="containsText" dxfId="3297" priority="3586" operator="containsText" text="Off Target">
      <formula>NOT(ISERROR(SEARCH("Off Target",G38)))</formula>
    </cfRule>
    <cfRule type="containsText" dxfId="3296" priority="3587" operator="containsText" text="In Danger of Falling Behind Target">
      <formula>NOT(ISERROR(SEARCH("In Danger of Falling Behind Target",G38)))</formula>
    </cfRule>
    <cfRule type="containsText" dxfId="3295" priority="3588" operator="containsText" text="On Track to be Achieved">
      <formula>NOT(ISERROR(SEARCH("On Track to be Achieved",G38)))</formula>
    </cfRule>
    <cfRule type="containsText" dxfId="3294" priority="3589" operator="containsText" text="Fully Achieved">
      <formula>NOT(ISERROR(SEARCH("Fully Achieved",G38)))</formula>
    </cfRule>
    <cfRule type="containsText" dxfId="3293" priority="3590" operator="containsText" text="Update not Provided">
      <formula>NOT(ISERROR(SEARCH("Update not Provided",G38)))</formula>
    </cfRule>
    <cfRule type="containsText" dxfId="3292" priority="3591" operator="containsText" text="Not yet due">
      <formula>NOT(ISERROR(SEARCH("Not yet due",G38)))</formula>
    </cfRule>
    <cfRule type="containsText" dxfId="3291" priority="3592" operator="containsText" text="Completed Behind Schedule">
      <formula>NOT(ISERROR(SEARCH("Completed Behind Schedule",G38)))</formula>
    </cfRule>
    <cfRule type="containsText" dxfId="3290" priority="3593" operator="containsText" text="Off Target">
      <formula>NOT(ISERROR(SEARCH("Off Target",G38)))</formula>
    </cfRule>
    <cfRule type="containsText" dxfId="3289" priority="3594" operator="containsText" text="In Danger of Falling Behind Target">
      <formula>NOT(ISERROR(SEARCH("In Danger of Falling Behind Target",G38)))</formula>
    </cfRule>
    <cfRule type="containsText" dxfId="3288" priority="3595" operator="containsText" text="On Track to be Achieved">
      <formula>NOT(ISERROR(SEARCH("On Track to be Achieved",G38)))</formula>
    </cfRule>
    <cfRule type="containsText" dxfId="3287" priority="3596" operator="containsText" text="Fully Achieved">
      <formula>NOT(ISERROR(SEARCH("Fully Achieved",G38)))</formula>
    </cfRule>
    <cfRule type="containsText" dxfId="3286" priority="3597" operator="containsText" text="Fully Achieved">
      <formula>NOT(ISERROR(SEARCH("Fully Achieved",G38)))</formula>
    </cfRule>
    <cfRule type="containsText" dxfId="3285" priority="3598" operator="containsText" text="Fully Achieved">
      <formula>NOT(ISERROR(SEARCH("Fully Achieved",G38)))</formula>
    </cfRule>
    <cfRule type="containsText" dxfId="3284" priority="3599" operator="containsText" text="Deferred">
      <formula>NOT(ISERROR(SEARCH("Deferred",G38)))</formula>
    </cfRule>
    <cfRule type="containsText" dxfId="3283" priority="3600" operator="containsText" text="Deleted">
      <formula>NOT(ISERROR(SEARCH("Deleted",G38)))</formula>
    </cfRule>
    <cfRule type="containsText" dxfId="3282" priority="3601" operator="containsText" text="In Danger of Falling Behind Target">
      <formula>NOT(ISERROR(SEARCH("In Danger of Falling Behind Target",G38)))</formula>
    </cfRule>
    <cfRule type="containsText" dxfId="3281" priority="3602" operator="containsText" text="Not yet due">
      <formula>NOT(ISERROR(SEARCH("Not yet due",G38)))</formula>
    </cfRule>
    <cfRule type="containsText" dxfId="3280" priority="3603" operator="containsText" text="Update not Provided">
      <formula>NOT(ISERROR(SEARCH("Update not Provided",G38)))</formula>
    </cfRule>
  </conditionalFormatting>
  <conditionalFormatting sqref="G38:G39">
    <cfRule type="containsText" dxfId="3279" priority="3532" operator="containsText" text="On track to be achieved">
      <formula>NOT(ISERROR(SEARCH("On track to be achieved",G38)))</formula>
    </cfRule>
    <cfRule type="containsText" dxfId="3278" priority="3533" operator="containsText" text="Deferred">
      <formula>NOT(ISERROR(SEARCH("Deferred",G38)))</formula>
    </cfRule>
    <cfRule type="containsText" dxfId="3277" priority="3534" operator="containsText" text="Deleted">
      <formula>NOT(ISERROR(SEARCH("Deleted",G38)))</formula>
    </cfRule>
    <cfRule type="containsText" dxfId="3276" priority="3535" operator="containsText" text="In Danger of Falling Behind Target">
      <formula>NOT(ISERROR(SEARCH("In Danger of Falling Behind Target",G38)))</formula>
    </cfRule>
    <cfRule type="containsText" dxfId="3275" priority="3536" operator="containsText" text="Not yet due">
      <formula>NOT(ISERROR(SEARCH("Not yet due",G38)))</formula>
    </cfRule>
    <cfRule type="containsText" dxfId="3274" priority="3537" operator="containsText" text="Update not Provided">
      <formula>NOT(ISERROR(SEARCH("Update not Provided",G38)))</formula>
    </cfRule>
    <cfRule type="containsText" dxfId="3273" priority="3538" operator="containsText" text="Not yet due">
      <formula>NOT(ISERROR(SEARCH("Not yet due",G38)))</formula>
    </cfRule>
    <cfRule type="containsText" dxfId="3272" priority="3539" operator="containsText" text="Completed Behind Schedule">
      <formula>NOT(ISERROR(SEARCH("Completed Behind Schedule",G38)))</formula>
    </cfRule>
    <cfRule type="containsText" dxfId="3271" priority="3540" operator="containsText" text="Off Target">
      <formula>NOT(ISERROR(SEARCH("Off Target",G38)))</formula>
    </cfRule>
    <cfRule type="containsText" dxfId="3270" priority="3541" operator="containsText" text="On Track to be Achieved">
      <formula>NOT(ISERROR(SEARCH("On Track to be Achieved",G38)))</formula>
    </cfRule>
    <cfRule type="containsText" dxfId="3269" priority="3542" operator="containsText" text="Fully Achieved">
      <formula>NOT(ISERROR(SEARCH("Fully Achieved",G38)))</formula>
    </cfRule>
    <cfRule type="containsText" dxfId="3268" priority="3543" operator="containsText" text="Not yet due">
      <formula>NOT(ISERROR(SEARCH("Not yet due",G38)))</formula>
    </cfRule>
    <cfRule type="containsText" dxfId="3267" priority="3544" operator="containsText" text="Not Yet Due">
      <formula>NOT(ISERROR(SEARCH("Not Yet Due",G38)))</formula>
    </cfRule>
    <cfRule type="containsText" dxfId="3266" priority="3545" operator="containsText" text="Deferred">
      <formula>NOT(ISERROR(SEARCH("Deferred",G38)))</formula>
    </cfRule>
    <cfRule type="containsText" dxfId="3265" priority="3546" operator="containsText" text="Deleted">
      <formula>NOT(ISERROR(SEARCH("Deleted",G38)))</formula>
    </cfRule>
    <cfRule type="containsText" dxfId="3264" priority="3547" operator="containsText" text="In Danger of Falling Behind Target">
      <formula>NOT(ISERROR(SEARCH("In Danger of Falling Behind Target",G38)))</formula>
    </cfRule>
    <cfRule type="containsText" dxfId="3263" priority="3548" operator="containsText" text="Not yet due">
      <formula>NOT(ISERROR(SEARCH("Not yet due",G38)))</formula>
    </cfRule>
    <cfRule type="containsText" dxfId="3262" priority="3549" operator="containsText" text="Completed Behind Schedule">
      <formula>NOT(ISERROR(SEARCH("Completed Behind Schedule",G38)))</formula>
    </cfRule>
    <cfRule type="containsText" dxfId="3261" priority="3550" operator="containsText" text="Off Target">
      <formula>NOT(ISERROR(SEARCH("Off Target",G38)))</formula>
    </cfRule>
    <cfRule type="containsText" dxfId="3260" priority="3551" operator="containsText" text="In Danger of Falling Behind Target">
      <formula>NOT(ISERROR(SEARCH("In Danger of Falling Behind Target",G38)))</formula>
    </cfRule>
    <cfRule type="containsText" dxfId="3259" priority="3552" operator="containsText" text="On Track to be Achieved">
      <formula>NOT(ISERROR(SEARCH("On Track to be Achieved",G38)))</formula>
    </cfRule>
    <cfRule type="containsText" dxfId="3258" priority="3553" operator="containsText" text="Fully Achieved">
      <formula>NOT(ISERROR(SEARCH("Fully Achieved",G38)))</formula>
    </cfRule>
    <cfRule type="containsText" dxfId="3257" priority="3554" operator="containsText" text="Update not Provided">
      <formula>NOT(ISERROR(SEARCH("Update not Provided",G38)))</formula>
    </cfRule>
    <cfRule type="containsText" dxfId="3256" priority="3555" operator="containsText" text="Not yet due">
      <formula>NOT(ISERROR(SEARCH("Not yet due",G38)))</formula>
    </cfRule>
    <cfRule type="containsText" dxfId="3255" priority="3556" operator="containsText" text="Completed Behind Schedule">
      <formula>NOT(ISERROR(SEARCH("Completed Behind Schedule",G38)))</formula>
    </cfRule>
    <cfRule type="containsText" dxfId="3254" priority="3557" operator="containsText" text="Off Target">
      <formula>NOT(ISERROR(SEARCH("Off Target",G38)))</formula>
    </cfRule>
    <cfRule type="containsText" dxfId="3253" priority="3558" operator="containsText" text="In Danger of Falling Behind Target">
      <formula>NOT(ISERROR(SEARCH("In Danger of Falling Behind Target",G38)))</formula>
    </cfRule>
    <cfRule type="containsText" dxfId="3252" priority="3559" operator="containsText" text="On Track to be Achieved">
      <formula>NOT(ISERROR(SEARCH("On Track to be Achieved",G38)))</formula>
    </cfRule>
    <cfRule type="containsText" dxfId="3251" priority="3560" operator="containsText" text="Fully Achieved">
      <formula>NOT(ISERROR(SEARCH("Fully Achieved",G38)))</formula>
    </cfRule>
    <cfRule type="containsText" dxfId="3250" priority="3561" operator="containsText" text="Fully Achieved">
      <formula>NOT(ISERROR(SEARCH("Fully Achieved",G38)))</formula>
    </cfRule>
    <cfRule type="containsText" dxfId="3249" priority="3562" operator="containsText" text="Fully Achieved">
      <formula>NOT(ISERROR(SEARCH("Fully Achieved",G38)))</formula>
    </cfRule>
    <cfRule type="containsText" dxfId="3248" priority="3563" operator="containsText" text="Deferred">
      <formula>NOT(ISERROR(SEARCH("Deferred",G38)))</formula>
    </cfRule>
    <cfRule type="containsText" dxfId="3247" priority="3564" operator="containsText" text="Deleted">
      <formula>NOT(ISERROR(SEARCH("Deleted",G38)))</formula>
    </cfRule>
    <cfRule type="containsText" dxfId="3246" priority="3565" operator="containsText" text="In Danger of Falling Behind Target">
      <formula>NOT(ISERROR(SEARCH("In Danger of Falling Behind Target",G38)))</formula>
    </cfRule>
    <cfRule type="containsText" dxfId="3245" priority="3566" operator="containsText" text="Not yet due">
      <formula>NOT(ISERROR(SEARCH("Not yet due",G38)))</formula>
    </cfRule>
    <cfRule type="containsText" dxfId="3244" priority="3567" operator="containsText" text="Update not Provided">
      <formula>NOT(ISERROR(SEARCH("Update not Provided",G38)))</formula>
    </cfRule>
  </conditionalFormatting>
  <conditionalFormatting sqref="G40:G41">
    <cfRule type="containsText" dxfId="3243" priority="3496" operator="containsText" text="On track to be achieved">
      <formula>NOT(ISERROR(SEARCH("On track to be achieved",G40)))</formula>
    </cfRule>
    <cfRule type="containsText" dxfId="3242" priority="3497" operator="containsText" text="Deferred">
      <formula>NOT(ISERROR(SEARCH("Deferred",G40)))</formula>
    </cfRule>
    <cfRule type="containsText" dxfId="3241" priority="3498" operator="containsText" text="Deleted">
      <formula>NOT(ISERROR(SEARCH("Deleted",G40)))</formula>
    </cfRule>
    <cfRule type="containsText" dxfId="3240" priority="3499" operator="containsText" text="In Danger of Falling Behind Target">
      <formula>NOT(ISERROR(SEARCH("In Danger of Falling Behind Target",G40)))</formula>
    </cfRule>
    <cfRule type="containsText" dxfId="3239" priority="3500" operator="containsText" text="Not yet due">
      <formula>NOT(ISERROR(SEARCH("Not yet due",G40)))</formula>
    </cfRule>
    <cfRule type="containsText" dxfId="3238" priority="3501" operator="containsText" text="Update not Provided">
      <formula>NOT(ISERROR(SEARCH("Update not Provided",G40)))</formula>
    </cfRule>
    <cfRule type="containsText" dxfId="3237" priority="3502" operator="containsText" text="Not yet due">
      <formula>NOT(ISERROR(SEARCH("Not yet due",G40)))</formula>
    </cfRule>
    <cfRule type="containsText" dxfId="3236" priority="3503" operator="containsText" text="Completed Behind Schedule">
      <formula>NOT(ISERROR(SEARCH("Completed Behind Schedule",G40)))</formula>
    </cfRule>
    <cfRule type="containsText" dxfId="3235" priority="3504" operator="containsText" text="Off Target">
      <formula>NOT(ISERROR(SEARCH("Off Target",G40)))</formula>
    </cfRule>
    <cfRule type="containsText" dxfId="3234" priority="3505" operator="containsText" text="On Track to be Achieved">
      <formula>NOT(ISERROR(SEARCH("On Track to be Achieved",G40)))</formula>
    </cfRule>
    <cfRule type="containsText" dxfId="3233" priority="3506" operator="containsText" text="Fully Achieved">
      <formula>NOT(ISERROR(SEARCH("Fully Achieved",G40)))</formula>
    </cfRule>
    <cfRule type="containsText" dxfId="3232" priority="3507" operator="containsText" text="Not yet due">
      <formula>NOT(ISERROR(SEARCH("Not yet due",G40)))</formula>
    </cfRule>
    <cfRule type="containsText" dxfId="3231" priority="3508" operator="containsText" text="Not Yet Due">
      <formula>NOT(ISERROR(SEARCH("Not Yet Due",G40)))</formula>
    </cfRule>
    <cfRule type="containsText" dxfId="3230" priority="3509" operator="containsText" text="Deferred">
      <formula>NOT(ISERROR(SEARCH("Deferred",G40)))</formula>
    </cfRule>
    <cfRule type="containsText" dxfId="3229" priority="3510" operator="containsText" text="Deleted">
      <formula>NOT(ISERROR(SEARCH("Deleted",G40)))</formula>
    </cfRule>
    <cfRule type="containsText" dxfId="3228" priority="3511" operator="containsText" text="In Danger of Falling Behind Target">
      <formula>NOT(ISERROR(SEARCH("In Danger of Falling Behind Target",G40)))</formula>
    </cfRule>
    <cfRule type="containsText" dxfId="3227" priority="3512" operator="containsText" text="Not yet due">
      <formula>NOT(ISERROR(SEARCH("Not yet due",G40)))</formula>
    </cfRule>
    <cfRule type="containsText" dxfId="3226" priority="3513" operator="containsText" text="Completed Behind Schedule">
      <formula>NOT(ISERROR(SEARCH("Completed Behind Schedule",G40)))</formula>
    </cfRule>
    <cfRule type="containsText" dxfId="3225" priority="3514" operator="containsText" text="Off Target">
      <formula>NOT(ISERROR(SEARCH("Off Target",G40)))</formula>
    </cfRule>
    <cfRule type="containsText" dxfId="3224" priority="3515" operator="containsText" text="In Danger of Falling Behind Target">
      <formula>NOT(ISERROR(SEARCH("In Danger of Falling Behind Target",G40)))</formula>
    </cfRule>
    <cfRule type="containsText" dxfId="3223" priority="3516" operator="containsText" text="On Track to be Achieved">
      <formula>NOT(ISERROR(SEARCH("On Track to be Achieved",G40)))</formula>
    </cfRule>
    <cfRule type="containsText" dxfId="3222" priority="3517" operator="containsText" text="Fully Achieved">
      <formula>NOT(ISERROR(SEARCH("Fully Achieved",G40)))</formula>
    </cfRule>
    <cfRule type="containsText" dxfId="3221" priority="3518" operator="containsText" text="Update not Provided">
      <formula>NOT(ISERROR(SEARCH("Update not Provided",G40)))</formula>
    </cfRule>
    <cfRule type="containsText" dxfId="3220" priority="3519" operator="containsText" text="Not yet due">
      <formula>NOT(ISERROR(SEARCH("Not yet due",G40)))</formula>
    </cfRule>
    <cfRule type="containsText" dxfId="3219" priority="3520" operator="containsText" text="Completed Behind Schedule">
      <formula>NOT(ISERROR(SEARCH("Completed Behind Schedule",G40)))</formula>
    </cfRule>
    <cfRule type="containsText" dxfId="3218" priority="3521" operator="containsText" text="Off Target">
      <formula>NOT(ISERROR(SEARCH("Off Target",G40)))</formula>
    </cfRule>
    <cfRule type="containsText" dxfId="3217" priority="3522" operator="containsText" text="In Danger of Falling Behind Target">
      <formula>NOT(ISERROR(SEARCH("In Danger of Falling Behind Target",G40)))</formula>
    </cfRule>
    <cfRule type="containsText" dxfId="3216" priority="3523" operator="containsText" text="On Track to be Achieved">
      <formula>NOT(ISERROR(SEARCH("On Track to be Achieved",G40)))</formula>
    </cfRule>
    <cfRule type="containsText" dxfId="3215" priority="3524" operator="containsText" text="Fully Achieved">
      <formula>NOT(ISERROR(SEARCH("Fully Achieved",G40)))</formula>
    </cfRule>
    <cfRule type="containsText" dxfId="3214" priority="3525" operator="containsText" text="Fully Achieved">
      <formula>NOT(ISERROR(SEARCH("Fully Achieved",G40)))</formula>
    </cfRule>
    <cfRule type="containsText" dxfId="3213" priority="3526" operator="containsText" text="Fully Achieved">
      <formula>NOT(ISERROR(SEARCH("Fully Achieved",G40)))</formula>
    </cfRule>
    <cfRule type="containsText" dxfId="3212" priority="3527" operator="containsText" text="Deferred">
      <formula>NOT(ISERROR(SEARCH("Deferred",G40)))</formula>
    </cfRule>
    <cfRule type="containsText" dxfId="3211" priority="3528" operator="containsText" text="Deleted">
      <formula>NOT(ISERROR(SEARCH("Deleted",G40)))</formula>
    </cfRule>
    <cfRule type="containsText" dxfId="3210" priority="3529" operator="containsText" text="In Danger of Falling Behind Target">
      <formula>NOT(ISERROR(SEARCH("In Danger of Falling Behind Target",G40)))</formula>
    </cfRule>
    <cfRule type="containsText" dxfId="3209" priority="3530" operator="containsText" text="Not yet due">
      <formula>NOT(ISERROR(SEARCH("Not yet due",G40)))</formula>
    </cfRule>
    <cfRule type="containsText" dxfId="3208" priority="3531" operator="containsText" text="Update not Provided">
      <formula>NOT(ISERROR(SEARCH("Update not Provided",G40)))</formula>
    </cfRule>
  </conditionalFormatting>
  <conditionalFormatting sqref="G42">
    <cfRule type="containsText" dxfId="3207" priority="3460" operator="containsText" text="On track to be achieved">
      <formula>NOT(ISERROR(SEARCH("On track to be achieved",G42)))</formula>
    </cfRule>
    <cfRule type="containsText" dxfId="3206" priority="3461" operator="containsText" text="Deferred">
      <formula>NOT(ISERROR(SEARCH("Deferred",G42)))</formula>
    </cfRule>
    <cfRule type="containsText" dxfId="3205" priority="3462" operator="containsText" text="Deleted">
      <formula>NOT(ISERROR(SEARCH("Deleted",G42)))</formula>
    </cfRule>
    <cfRule type="containsText" dxfId="3204" priority="3463" operator="containsText" text="In Danger of Falling Behind Target">
      <formula>NOT(ISERROR(SEARCH("In Danger of Falling Behind Target",G42)))</formula>
    </cfRule>
    <cfRule type="containsText" dxfId="3203" priority="3464" operator="containsText" text="Not yet due">
      <formula>NOT(ISERROR(SEARCH("Not yet due",G42)))</formula>
    </cfRule>
    <cfRule type="containsText" dxfId="3202" priority="3465" operator="containsText" text="Update not Provided">
      <formula>NOT(ISERROR(SEARCH("Update not Provided",G42)))</formula>
    </cfRule>
    <cfRule type="containsText" dxfId="3201" priority="3466" operator="containsText" text="Not yet due">
      <formula>NOT(ISERROR(SEARCH("Not yet due",G42)))</formula>
    </cfRule>
    <cfRule type="containsText" dxfId="3200" priority="3467" operator="containsText" text="Completed Behind Schedule">
      <formula>NOT(ISERROR(SEARCH("Completed Behind Schedule",G42)))</formula>
    </cfRule>
    <cfRule type="containsText" dxfId="3199" priority="3468" operator="containsText" text="Off Target">
      <formula>NOT(ISERROR(SEARCH("Off Target",G42)))</formula>
    </cfRule>
    <cfRule type="containsText" dxfId="3198" priority="3469" operator="containsText" text="On Track to be Achieved">
      <formula>NOT(ISERROR(SEARCH("On Track to be Achieved",G42)))</formula>
    </cfRule>
    <cfRule type="containsText" dxfId="3197" priority="3470" operator="containsText" text="Fully Achieved">
      <formula>NOT(ISERROR(SEARCH("Fully Achieved",G42)))</formula>
    </cfRule>
    <cfRule type="containsText" dxfId="3196" priority="3471" operator="containsText" text="Not yet due">
      <formula>NOT(ISERROR(SEARCH("Not yet due",G42)))</formula>
    </cfRule>
    <cfRule type="containsText" dxfId="3195" priority="3472" operator="containsText" text="Not Yet Due">
      <formula>NOT(ISERROR(SEARCH("Not Yet Due",G42)))</formula>
    </cfRule>
    <cfRule type="containsText" dxfId="3194" priority="3473" operator="containsText" text="Deferred">
      <formula>NOT(ISERROR(SEARCH("Deferred",G42)))</formula>
    </cfRule>
    <cfRule type="containsText" dxfId="3193" priority="3474" operator="containsText" text="Deleted">
      <formula>NOT(ISERROR(SEARCH("Deleted",G42)))</formula>
    </cfRule>
    <cfRule type="containsText" dxfId="3192" priority="3475" operator="containsText" text="In Danger of Falling Behind Target">
      <formula>NOT(ISERROR(SEARCH("In Danger of Falling Behind Target",G42)))</formula>
    </cfRule>
    <cfRule type="containsText" dxfId="3191" priority="3476" operator="containsText" text="Not yet due">
      <formula>NOT(ISERROR(SEARCH("Not yet due",G42)))</formula>
    </cfRule>
    <cfRule type="containsText" dxfId="3190" priority="3477" operator="containsText" text="Completed Behind Schedule">
      <formula>NOT(ISERROR(SEARCH("Completed Behind Schedule",G42)))</formula>
    </cfRule>
    <cfRule type="containsText" dxfId="3189" priority="3478" operator="containsText" text="Off Target">
      <formula>NOT(ISERROR(SEARCH("Off Target",G42)))</formula>
    </cfRule>
    <cfRule type="containsText" dxfId="3188" priority="3479" operator="containsText" text="In Danger of Falling Behind Target">
      <formula>NOT(ISERROR(SEARCH("In Danger of Falling Behind Target",G42)))</formula>
    </cfRule>
    <cfRule type="containsText" dxfId="3187" priority="3480" operator="containsText" text="On Track to be Achieved">
      <formula>NOT(ISERROR(SEARCH("On Track to be Achieved",G42)))</formula>
    </cfRule>
    <cfRule type="containsText" dxfId="3186" priority="3481" operator="containsText" text="Fully Achieved">
      <formula>NOT(ISERROR(SEARCH("Fully Achieved",G42)))</formula>
    </cfRule>
    <cfRule type="containsText" dxfId="3185" priority="3482" operator="containsText" text="Update not Provided">
      <formula>NOT(ISERROR(SEARCH("Update not Provided",G42)))</formula>
    </cfRule>
    <cfRule type="containsText" dxfId="3184" priority="3483" operator="containsText" text="Not yet due">
      <formula>NOT(ISERROR(SEARCH("Not yet due",G42)))</formula>
    </cfRule>
    <cfRule type="containsText" dxfId="3183" priority="3484" operator="containsText" text="Completed Behind Schedule">
      <formula>NOT(ISERROR(SEARCH("Completed Behind Schedule",G42)))</formula>
    </cfRule>
    <cfRule type="containsText" dxfId="3182" priority="3485" operator="containsText" text="Off Target">
      <formula>NOT(ISERROR(SEARCH("Off Target",G42)))</formula>
    </cfRule>
    <cfRule type="containsText" dxfId="3181" priority="3486" operator="containsText" text="In Danger of Falling Behind Target">
      <formula>NOT(ISERROR(SEARCH("In Danger of Falling Behind Target",G42)))</formula>
    </cfRule>
    <cfRule type="containsText" dxfId="3180" priority="3487" operator="containsText" text="On Track to be Achieved">
      <formula>NOT(ISERROR(SEARCH("On Track to be Achieved",G42)))</formula>
    </cfRule>
    <cfRule type="containsText" dxfId="3179" priority="3488" operator="containsText" text="Fully Achieved">
      <formula>NOT(ISERROR(SEARCH("Fully Achieved",G42)))</formula>
    </cfRule>
    <cfRule type="containsText" dxfId="3178" priority="3489" operator="containsText" text="Fully Achieved">
      <formula>NOT(ISERROR(SEARCH("Fully Achieved",G42)))</formula>
    </cfRule>
    <cfRule type="containsText" dxfId="3177" priority="3490" operator="containsText" text="Fully Achieved">
      <formula>NOT(ISERROR(SEARCH("Fully Achieved",G42)))</formula>
    </cfRule>
    <cfRule type="containsText" dxfId="3176" priority="3491" operator="containsText" text="Deferred">
      <formula>NOT(ISERROR(SEARCH("Deferred",G42)))</formula>
    </cfRule>
    <cfRule type="containsText" dxfId="3175" priority="3492" operator="containsText" text="Deleted">
      <formula>NOT(ISERROR(SEARCH("Deleted",G42)))</formula>
    </cfRule>
    <cfRule type="containsText" dxfId="3174" priority="3493" operator="containsText" text="In Danger of Falling Behind Target">
      <formula>NOT(ISERROR(SEARCH("In Danger of Falling Behind Target",G42)))</formula>
    </cfRule>
    <cfRule type="containsText" dxfId="3173" priority="3494" operator="containsText" text="Not yet due">
      <formula>NOT(ISERROR(SEARCH("Not yet due",G42)))</formula>
    </cfRule>
    <cfRule type="containsText" dxfId="3172" priority="3495" operator="containsText" text="Update not Provided">
      <formula>NOT(ISERROR(SEARCH("Update not Provided",G42)))</formula>
    </cfRule>
  </conditionalFormatting>
  <conditionalFormatting sqref="G42">
    <cfRule type="containsText" dxfId="3171" priority="3424" operator="containsText" text="On track to be achieved">
      <formula>NOT(ISERROR(SEARCH("On track to be achieved",G42)))</formula>
    </cfRule>
    <cfRule type="containsText" dxfId="3170" priority="3425" operator="containsText" text="Deferred">
      <formula>NOT(ISERROR(SEARCH("Deferred",G42)))</formula>
    </cfRule>
    <cfRule type="containsText" dxfId="3169" priority="3426" operator="containsText" text="Deleted">
      <formula>NOT(ISERROR(SEARCH("Deleted",G42)))</formula>
    </cfRule>
    <cfRule type="containsText" dxfId="3168" priority="3427" operator="containsText" text="In Danger of Falling Behind Target">
      <formula>NOT(ISERROR(SEARCH("In Danger of Falling Behind Target",G42)))</formula>
    </cfRule>
    <cfRule type="containsText" dxfId="3167" priority="3428" operator="containsText" text="Not yet due">
      <formula>NOT(ISERROR(SEARCH("Not yet due",G42)))</formula>
    </cfRule>
    <cfRule type="containsText" dxfId="3166" priority="3429" operator="containsText" text="Update not Provided">
      <formula>NOT(ISERROR(SEARCH("Update not Provided",G42)))</formula>
    </cfRule>
    <cfRule type="containsText" dxfId="3165" priority="3430" operator="containsText" text="Not yet due">
      <formula>NOT(ISERROR(SEARCH("Not yet due",G42)))</formula>
    </cfRule>
    <cfRule type="containsText" dxfId="3164" priority="3431" operator="containsText" text="Completed Behind Schedule">
      <formula>NOT(ISERROR(SEARCH("Completed Behind Schedule",G42)))</formula>
    </cfRule>
    <cfRule type="containsText" dxfId="3163" priority="3432" operator="containsText" text="Off Target">
      <formula>NOT(ISERROR(SEARCH("Off Target",G42)))</formula>
    </cfRule>
    <cfRule type="containsText" dxfId="3162" priority="3433" operator="containsText" text="On Track to be Achieved">
      <formula>NOT(ISERROR(SEARCH("On Track to be Achieved",G42)))</formula>
    </cfRule>
    <cfRule type="containsText" dxfId="3161" priority="3434" operator="containsText" text="Fully Achieved">
      <formula>NOT(ISERROR(SEARCH("Fully Achieved",G42)))</formula>
    </cfRule>
    <cfRule type="containsText" dxfId="3160" priority="3435" operator="containsText" text="Not yet due">
      <formula>NOT(ISERROR(SEARCH("Not yet due",G42)))</formula>
    </cfRule>
    <cfRule type="containsText" dxfId="3159" priority="3436" operator="containsText" text="Not Yet Due">
      <formula>NOT(ISERROR(SEARCH("Not Yet Due",G42)))</formula>
    </cfRule>
    <cfRule type="containsText" dxfId="3158" priority="3437" operator="containsText" text="Deferred">
      <formula>NOT(ISERROR(SEARCH("Deferred",G42)))</formula>
    </cfRule>
    <cfRule type="containsText" dxfId="3157" priority="3438" operator="containsText" text="Deleted">
      <formula>NOT(ISERROR(SEARCH("Deleted",G42)))</formula>
    </cfRule>
    <cfRule type="containsText" dxfId="3156" priority="3439" operator="containsText" text="In Danger of Falling Behind Target">
      <formula>NOT(ISERROR(SEARCH("In Danger of Falling Behind Target",G42)))</formula>
    </cfRule>
    <cfRule type="containsText" dxfId="3155" priority="3440" operator="containsText" text="Not yet due">
      <formula>NOT(ISERROR(SEARCH("Not yet due",G42)))</formula>
    </cfRule>
    <cfRule type="containsText" dxfId="3154" priority="3441" operator="containsText" text="Completed Behind Schedule">
      <formula>NOT(ISERROR(SEARCH("Completed Behind Schedule",G42)))</formula>
    </cfRule>
    <cfRule type="containsText" dxfId="3153" priority="3442" operator="containsText" text="Off Target">
      <formula>NOT(ISERROR(SEARCH("Off Target",G42)))</formula>
    </cfRule>
    <cfRule type="containsText" dxfId="3152" priority="3443" operator="containsText" text="In Danger of Falling Behind Target">
      <formula>NOT(ISERROR(SEARCH("In Danger of Falling Behind Target",G42)))</formula>
    </cfRule>
    <cfRule type="containsText" dxfId="3151" priority="3444" operator="containsText" text="On Track to be Achieved">
      <formula>NOT(ISERROR(SEARCH("On Track to be Achieved",G42)))</formula>
    </cfRule>
    <cfRule type="containsText" dxfId="3150" priority="3445" operator="containsText" text="Fully Achieved">
      <formula>NOT(ISERROR(SEARCH("Fully Achieved",G42)))</formula>
    </cfRule>
    <cfRule type="containsText" dxfId="3149" priority="3446" operator="containsText" text="Update not Provided">
      <formula>NOT(ISERROR(SEARCH("Update not Provided",G42)))</formula>
    </cfRule>
    <cfRule type="containsText" dxfId="3148" priority="3447" operator="containsText" text="Not yet due">
      <formula>NOT(ISERROR(SEARCH("Not yet due",G42)))</formula>
    </cfRule>
    <cfRule type="containsText" dxfId="3147" priority="3448" operator="containsText" text="Completed Behind Schedule">
      <formula>NOT(ISERROR(SEARCH("Completed Behind Schedule",G42)))</formula>
    </cfRule>
    <cfRule type="containsText" dxfId="3146" priority="3449" operator="containsText" text="Off Target">
      <formula>NOT(ISERROR(SEARCH("Off Target",G42)))</formula>
    </cfRule>
    <cfRule type="containsText" dxfId="3145" priority="3450" operator="containsText" text="In Danger of Falling Behind Target">
      <formula>NOT(ISERROR(SEARCH("In Danger of Falling Behind Target",G42)))</formula>
    </cfRule>
    <cfRule type="containsText" dxfId="3144" priority="3451" operator="containsText" text="On Track to be Achieved">
      <formula>NOT(ISERROR(SEARCH("On Track to be Achieved",G42)))</formula>
    </cfRule>
    <cfRule type="containsText" dxfId="3143" priority="3452" operator="containsText" text="Fully Achieved">
      <formula>NOT(ISERROR(SEARCH("Fully Achieved",G42)))</formula>
    </cfRule>
    <cfRule type="containsText" dxfId="3142" priority="3453" operator="containsText" text="Fully Achieved">
      <formula>NOT(ISERROR(SEARCH("Fully Achieved",G42)))</formula>
    </cfRule>
    <cfRule type="containsText" dxfId="3141" priority="3454" operator="containsText" text="Fully Achieved">
      <formula>NOT(ISERROR(SEARCH("Fully Achieved",G42)))</formula>
    </cfRule>
    <cfRule type="containsText" dxfId="3140" priority="3455" operator="containsText" text="Deferred">
      <formula>NOT(ISERROR(SEARCH("Deferred",G42)))</formula>
    </cfRule>
    <cfRule type="containsText" dxfId="3139" priority="3456" operator="containsText" text="Deleted">
      <formula>NOT(ISERROR(SEARCH("Deleted",G42)))</formula>
    </cfRule>
    <cfRule type="containsText" dxfId="3138" priority="3457" operator="containsText" text="In Danger of Falling Behind Target">
      <formula>NOT(ISERROR(SEARCH("In Danger of Falling Behind Target",G42)))</formula>
    </cfRule>
    <cfRule type="containsText" dxfId="3137" priority="3458" operator="containsText" text="Not yet due">
      <formula>NOT(ISERROR(SEARCH("Not yet due",G42)))</formula>
    </cfRule>
    <cfRule type="containsText" dxfId="3136" priority="3459" operator="containsText" text="Update not Provided">
      <formula>NOT(ISERROR(SEARCH("Update not Provided",G42)))</formula>
    </cfRule>
  </conditionalFormatting>
  <conditionalFormatting sqref="G43:G49">
    <cfRule type="containsText" dxfId="3135" priority="3388" operator="containsText" text="On track to be achieved">
      <formula>NOT(ISERROR(SEARCH("On track to be achieved",G43)))</formula>
    </cfRule>
    <cfRule type="containsText" dxfId="3134" priority="3389" operator="containsText" text="Deferred">
      <formula>NOT(ISERROR(SEARCH("Deferred",G43)))</formula>
    </cfRule>
    <cfRule type="containsText" dxfId="3133" priority="3390" operator="containsText" text="Deleted">
      <formula>NOT(ISERROR(SEARCH("Deleted",G43)))</formula>
    </cfRule>
    <cfRule type="containsText" dxfId="3132" priority="3391" operator="containsText" text="In Danger of Falling Behind Target">
      <formula>NOT(ISERROR(SEARCH("In Danger of Falling Behind Target",G43)))</formula>
    </cfRule>
    <cfRule type="containsText" dxfId="3131" priority="3392" operator="containsText" text="Not yet due">
      <formula>NOT(ISERROR(SEARCH("Not yet due",G43)))</formula>
    </cfRule>
    <cfRule type="containsText" dxfId="3130" priority="3393" operator="containsText" text="Update not Provided">
      <formula>NOT(ISERROR(SEARCH("Update not Provided",G43)))</formula>
    </cfRule>
    <cfRule type="containsText" dxfId="3129" priority="3394" operator="containsText" text="Not yet due">
      <formula>NOT(ISERROR(SEARCH("Not yet due",G43)))</formula>
    </cfRule>
    <cfRule type="containsText" dxfId="3128" priority="3395" operator="containsText" text="Completed Behind Schedule">
      <formula>NOT(ISERROR(SEARCH("Completed Behind Schedule",G43)))</formula>
    </cfRule>
    <cfRule type="containsText" dxfId="3127" priority="3396" operator="containsText" text="Off Target">
      <formula>NOT(ISERROR(SEARCH("Off Target",G43)))</formula>
    </cfRule>
    <cfRule type="containsText" dxfId="3126" priority="3397" operator="containsText" text="On Track to be Achieved">
      <formula>NOT(ISERROR(SEARCH("On Track to be Achieved",G43)))</formula>
    </cfRule>
    <cfRule type="containsText" dxfId="3125" priority="3398" operator="containsText" text="Fully Achieved">
      <formula>NOT(ISERROR(SEARCH("Fully Achieved",G43)))</formula>
    </cfRule>
    <cfRule type="containsText" dxfId="3124" priority="3399" operator="containsText" text="Not yet due">
      <formula>NOT(ISERROR(SEARCH("Not yet due",G43)))</formula>
    </cfRule>
    <cfRule type="containsText" dxfId="3123" priority="3400" operator="containsText" text="Not Yet Due">
      <formula>NOT(ISERROR(SEARCH("Not Yet Due",G43)))</formula>
    </cfRule>
    <cfRule type="containsText" dxfId="3122" priority="3401" operator="containsText" text="Deferred">
      <formula>NOT(ISERROR(SEARCH("Deferred",G43)))</formula>
    </cfRule>
    <cfRule type="containsText" dxfId="3121" priority="3402" operator="containsText" text="Deleted">
      <formula>NOT(ISERROR(SEARCH("Deleted",G43)))</formula>
    </cfRule>
    <cfRule type="containsText" dxfId="3120" priority="3403" operator="containsText" text="In Danger of Falling Behind Target">
      <formula>NOT(ISERROR(SEARCH("In Danger of Falling Behind Target",G43)))</formula>
    </cfRule>
    <cfRule type="containsText" dxfId="3119" priority="3404" operator="containsText" text="Not yet due">
      <formula>NOT(ISERROR(SEARCH("Not yet due",G43)))</formula>
    </cfRule>
    <cfRule type="containsText" dxfId="3118" priority="3405" operator="containsText" text="Completed Behind Schedule">
      <formula>NOT(ISERROR(SEARCH("Completed Behind Schedule",G43)))</formula>
    </cfRule>
    <cfRule type="containsText" dxfId="3117" priority="3406" operator="containsText" text="Off Target">
      <formula>NOT(ISERROR(SEARCH("Off Target",G43)))</formula>
    </cfRule>
    <cfRule type="containsText" dxfId="3116" priority="3407" operator="containsText" text="In Danger of Falling Behind Target">
      <formula>NOT(ISERROR(SEARCH("In Danger of Falling Behind Target",G43)))</formula>
    </cfRule>
    <cfRule type="containsText" dxfId="3115" priority="3408" operator="containsText" text="On Track to be Achieved">
      <formula>NOT(ISERROR(SEARCH("On Track to be Achieved",G43)))</formula>
    </cfRule>
    <cfRule type="containsText" dxfId="3114" priority="3409" operator="containsText" text="Fully Achieved">
      <formula>NOT(ISERROR(SEARCH("Fully Achieved",G43)))</formula>
    </cfRule>
    <cfRule type="containsText" dxfId="3113" priority="3410" operator="containsText" text="Update not Provided">
      <formula>NOT(ISERROR(SEARCH("Update not Provided",G43)))</formula>
    </cfRule>
    <cfRule type="containsText" dxfId="3112" priority="3411" operator="containsText" text="Not yet due">
      <formula>NOT(ISERROR(SEARCH("Not yet due",G43)))</formula>
    </cfRule>
    <cfRule type="containsText" dxfId="3111" priority="3412" operator="containsText" text="Completed Behind Schedule">
      <formula>NOT(ISERROR(SEARCH("Completed Behind Schedule",G43)))</formula>
    </cfRule>
    <cfRule type="containsText" dxfId="3110" priority="3413" operator="containsText" text="Off Target">
      <formula>NOT(ISERROR(SEARCH("Off Target",G43)))</formula>
    </cfRule>
    <cfRule type="containsText" dxfId="3109" priority="3414" operator="containsText" text="In Danger of Falling Behind Target">
      <formula>NOT(ISERROR(SEARCH("In Danger of Falling Behind Target",G43)))</formula>
    </cfRule>
    <cfRule type="containsText" dxfId="3108" priority="3415" operator="containsText" text="On Track to be Achieved">
      <formula>NOT(ISERROR(SEARCH("On Track to be Achieved",G43)))</formula>
    </cfRule>
    <cfRule type="containsText" dxfId="3107" priority="3416" operator="containsText" text="Fully Achieved">
      <formula>NOT(ISERROR(SEARCH("Fully Achieved",G43)))</formula>
    </cfRule>
    <cfRule type="containsText" dxfId="3106" priority="3417" operator="containsText" text="Fully Achieved">
      <formula>NOT(ISERROR(SEARCH("Fully Achieved",G43)))</formula>
    </cfRule>
    <cfRule type="containsText" dxfId="3105" priority="3418" operator="containsText" text="Fully Achieved">
      <formula>NOT(ISERROR(SEARCH("Fully Achieved",G43)))</formula>
    </cfRule>
    <cfRule type="containsText" dxfId="3104" priority="3419" operator="containsText" text="Deferred">
      <formula>NOT(ISERROR(SEARCH("Deferred",G43)))</formula>
    </cfRule>
    <cfRule type="containsText" dxfId="3103" priority="3420" operator="containsText" text="Deleted">
      <formula>NOT(ISERROR(SEARCH("Deleted",G43)))</formula>
    </cfRule>
    <cfRule type="containsText" dxfId="3102" priority="3421" operator="containsText" text="In Danger of Falling Behind Target">
      <formula>NOT(ISERROR(SEARCH("In Danger of Falling Behind Target",G43)))</formula>
    </cfRule>
    <cfRule type="containsText" dxfId="3101" priority="3422" operator="containsText" text="Not yet due">
      <formula>NOT(ISERROR(SEARCH("Not yet due",G43)))</formula>
    </cfRule>
    <cfRule type="containsText" dxfId="3100" priority="3423" operator="containsText" text="Update not Provided">
      <formula>NOT(ISERROR(SEARCH("Update not Provided",G43)))</formula>
    </cfRule>
  </conditionalFormatting>
  <conditionalFormatting sqref="G50">
    <cfRule type="containsText" dxfId="3099" priority="3352" operator="containsText" text="On track to be achieved">
      <formula>NOT(ISERROR(SEARCH("On track to be achieved",G50)))</formula>
    </cfRule>
    <cfRule type="containsText" dxfId="3098" priority="3353" operator="containsText" text="Deferred">
      <formula>NOT(ISERROR(SEARCH("Deferred",G50)))</formula>
    </cfRule>
    <cfRule type="containsText" dxfId="3097" priority="3354" operator="containsText" text="Deleted">
      <formula>NOT(ISERROR(SEARCH("Deleted",G50)))</formula>
    </cfRule>
    <cfRule type="containsText" dxfId="3096" priority="3355" operator="containsText" text="In Danger of Falling Behind Target">
      <formula>NOT(ISERROR(SEARCH("In Danger of Falling Behind Target",G50)))</formula>
    </cfRule>
    <cfRule type="containsText" dxfId="3095" priority="3356" operator="containsText" text="Not yet due">
      <formula>NOT(ISERROR(SEARCH("Not yet due",G50)))</formula>
    </cfRule>
    <cfRule type="containsText" dxfId="3094" priority="3357" operator="containsText" text="Update not Provided">
      <formula>NOT(ISERROR(SEARCH("Update not Provided",G50)))</formula>
    </cfRule>
    <cfRule type="containsText" dxfId="3093" priority="3358" operator="containsText" text="Not yet due">
      <formula>NOT(ISERROR(SEARCH("Not yet due",G50)))</formula>
    </cfRule>
    <cfRule type="containsText" dxfId="3092" priority="3359" operator="containsText" text="Completed Behind Schedule">
      <formula>NOT(ISERROR(SEARCH("Completed Behind Schedule",G50)))</formula>
    </cfRule>
    <cfRule type="containsText" dxfId="3091" priority="3360" operator="containsText" text="Off Target">
      <formula>NOT(ISERROR(SEARCH("Off Target",G50)))</formula>
    </cfRule>
    <cfRule type="containsText" dxfId="3090" priority="3361" operator="containsText" text="On Track to be Achieved">
      <formula>NOT(ISERROR(SEARCH("On Track to be Achieved",G50)))</formula>
    </cfRule>
    <cfRule type="containsText" dxfId="3089" priority="3362" operator="containsText" text="Fully Achieved">
      <formula>NOT(ISERROR(SEARCH("Fully Achieved",G50)))</formula>
    </cfRule>
    <cfRule type="containsText" dxfId="3088" priority="3363" operator="containsText" text="Not yet due">
      <formula>NOT(ISERROR(SEARCH("Not yet due",G50)))</formula>
    </cfRule>
    <cfRule type="containsText" dxfId="3087" priority="3364" operator="containsText" text="Not Yet Due">
      <formula>NOT(ISERROR(SEARCH("Not Yet Due",G50)))</formula>
    </cfRule>
    <cfRule type="containsText" dxfId="3086" priority="3365" operator="containsText" text="Deferred">
      <formula>NOT(ISERROR(SEARCH("Deferred",G50)))</formula>
    </cfRule>
    <cfRule type="containsText" dxfId="3085" priority="3366" operator="containsText" text="Deleted">
      <formula>NOT(ISERROR(SEARCH("Deleted",G50)))</formula>
    </cfRule>
    <cfRule type="containsText" dxfId="3084" priority="3367" operator="containsText" text="In Danger of Falling Behind Target">
      <formula>NOT(ISERROR(SEARCH("In Danger of Falling Behind Target",G50)))</formula>
    </cfRule>
    <cfRule type="containsText" dxfId="3083" priority="3368" operator="containsText" text="Not yet due">
      <formula>NOT(ISERROR(SEARCH("Not yet due",G50)))</formula>
    </cfRule>
    <cfRule type="containsText" dxfId="3082" priority="3369" operator="containsText" text="Completed Behind Schedule">
      <formula>NOT(ISERROR(SEARCH("Completed Behind Schedule",G50)))</formula>
    </cfRule>
    <cfRule type="containsText" dxfId="3081" priority="3370" operator="containsText" text="Off Target">
      <formula>NOT(ISERROR(SEARCH("Off Target",G50)))</formula>
    </cfRule>
    <cfRule type="containsText" dxfId="3080" priority="3371" operator="containsText" text="In Danger of Falling Behind Target">
      <formula>NOT(ISERROR(SEARCH("In Danger of Falling Behind Target",G50)))</formula>
    </cfRule>
    <cfRule type="containsText" dxfId="3079" priority="3372" operator="containsText" text="On Track to be Achieved">
      <formula>NOT(ISERROR(SEARCH("On Track to be Achieved",G50)))</formula>
    </cfRule>
    <cfRule type="containsText" dxfId="3078" priority="3373" operator="containsText" text="Fully Achieved">
      <formula>NOT(ISERROR(SEARCH("Fully Achieved",G50)))</formula>
    </cfRule>
    <cfRule type="containsText" dxfId="3077" priority="3374" operator="containsText" text="Update not Provided">
      <formula>NOT(ISERROR(SEARCH("Update not Provided",G50)))</formula>
    </cfRule>
    <cfRule type="containsText" dxfId="3076" priority="3375" operator="containsText" text="Not yet due">
      <formula>NOT(ISERROR(SEARCH("Not yet due",G50)))</formula>
    </cfRule>
    <cfRule type="containsText" dxfId="3075" priority="3376" operator="containsText" text="Completed Behind Schedule">
      <formula>NOT(ISERROR(SEARCH("Completed Behind Schedule",G50)))</formula>
    </cfRule>
    <cfRule type="containsText" dxfId="3074" priority="3377" operator="containsText" text="Off Target">
      <formula>NOT(ISERROR(SEARCH("Off Target",G50)))</formula>
    </cfRule>
    <cfRule type="containsText" dxfId="3073" priority="3378" operator="containsText" text="In Danger of Falling Behind Target">
      <formula>NOT(ISERROR(SEARCH("In Danger of Falling Behind Target",G50)))</formula>
    </cfRule>
    <cfRule type="containsText" dxfId="3072" priority="3379" operator="containsText" text="On Track to be Achieved">
      <formula>NOT(ISERROR(SEARCH("On Track to be Achieved",G50)))</formula>
    </cfRule>
    <cfRule type="containsText" dxfId="3071" priority="3380" operator="containsText" text="Fully Achieved">
      <formula>NOT(ISERROR(SEARCH("Fully Achieved",G50)))</formula>
    </cfRule>
    <cfRule type="containsText" dxfId="3070" priority="3381" operator="containsText" text="Fully Achieved">
      <formula>NOT(ISERROR(SEARCH("Fully Achieved",G50)))</formula>
    </cfRule>
    <cfRule type="containsText" dxfId="3069" priority="3382" operator="containsText" text="Fully Achieved">
      <formula>NOT(ISERROR(SEARCH("Fully Achieved",G50)))</formula>
    </cfRule>
    <cfRule type="containsText" dxfId="3068" priority="3383" operator="containsText" text="Deferred">
      <formula>NOT(ISERROR(SEARCH("Deferred",G50)))</formula>
    </cfRule>
    <cfRule type="containsText" dxfId="3067" priority="3384" operator="containsText" text="Deleted">
      <formula>NOT(ISERROR(SEARCH("Deleted",G50)))</formula>
    </cfRule>
    <cfRule type="containsText" dxfId="3066" priority="3385" operator="containsText" text="In Danger of Falling Behind Target">
      <formula>NOT(ISERROR(SEARCH("In Danger of Falling Behind Target",G50)))</formula>
    </cfRule>
    <cfRule type="containsText" dxfId="3065" priority="3386" operator="containsText" text="Not yet due">
      <formula>NOT(ISERROR(SEARCH("Not yet due",G50)))</formula>
    </cfRule>
    <cfRule type="containsText" dxfId="3064" priority="3387" operator="containsText" text="Update not Provided">
      <formula>NOT(ISERROR(SEARCH("Update not Provided",G50)))</formula>
    </cfRule>
  </conditionalFormatting>
  <conditionalFormatting sqref="G50">
    <cfRule type="containsText" dxfId="3063" priority="3316" operator="containsText" text="On track to be achieved">
      <formula>NOT(ISERROR(SEARCH("On track to be achieved",G50)))</formula>
    </cfRule>
    <cfRule type="containsText" dxfId="3062" priority="3317" operator="containsText" text="Deferred">
      <formula>NOT(ISERROR(SEARCH("Deferred",G50)))</formula>
    </cfRule>
    <cfRule type="containsText" dxfId="3061" priority="3318" operator="containsText" text="Deleted">
      <formula>NOT(ISERROR(SEARCH("Deleted",G50)))</formula>
    </cfRule>
    <cfRule type="containsText" dxfId="3060" priority="3319" operator="containsText" text="In Danger of Falling Behind Target">
      <formula>NOT(ISERROR(SEARCH("In Danger of Falling Behind Target",G50)))</formula>
    </cfRule>
    <cfRule type="containsText" dxfId="3059" priority="3320" operator="containsText" text="Not yet due">
      <formula>NOT(ISERROR(SEARCH("Not yet due",G50)))</formula>
    </cfRule>
    <cfRule type="containsText" dxfId="3058" priority="3321" operator="containsText" text="Update not Provided">
      <formula>NOT(ISERROR(SEARCH("Update not Provided",G50)))</formula>
    </cfRule>
    <cfRule type="containsText" dxfId="3057" priority="3322" operator="containsText" text="Not yet due">
      <formula>NOT(ISERROR(SEARCH("Not yet due",G50)))</formula>
    </cfRule>
    <cfRule type="containsText" dxfId="3056" priority="3323" operator="containsText" text="Completed Behind Schedule">
      <formula>NOT(ISERROR(SEARCH("Completed Behind Schedule",G50)))</formula>
    </cfRule>
    <cfRule type="containsText" dxfId="3055" priority="3324" operator="containsText" text="Off Target">
      <formula>NOT(ISERROR(SEARCH("Off Target",G50)))</formula>
    </cfRule>
    <cfRule type="containsText" dxfId="3054" priority="3325" operator="containsText" text="On Track to be Achieved">
      <formula>NOT(ISERROR(SEARCH("On Track to be Achieved",G50)))</formula>
    </cfRule>
    <cfRule type="containsText" dxfId="3053" priority="3326" operator="containsText" text="Fully Achieved">
      <formula>NOT(ISERROR(SEARCH("Fully Achieved",G50)))</formula>
    </cfRule>
    <cfRule type="containsText" dxfId="3052" priority="3327" operator="containsText" text="Not yet due">
      <formula>NOT(ISERROR(SEARCH("Not yet due",G50)))</formula>
    </cfRule>
    <cfRule type="containsText" dxfId="3051" priority="3328" operator="containsText" text="Not Yet Due">
      <formula>NOT(ISERROR(SEARCH("Not Yet Due",G50)))</formula>
    </cfRule>
    <cfRule type="containsText" dxfId="3050" priority="3329" operator="containsText" text="Deferred">
      <formula>NOT(ISERROR(SEARCH("Deferred",G50)))</formula>
    </cfRule>
    <cfRule type="containsText" dxfId="3049" priority="3330" operator="containsText" text="Deleted">
      <formula>NOT(ISERROR(SEARCH("Deleted",G50)))</formula>
    </cfRule>
    <cfRule type="containsText" dxfId="3048" priority="3331" operator="containsText" text="In Danger of Falling Behind Target">
      <formula>NOT(ISERROR(SEARCH("In Danger of Falling Behind Target",G50)))</formula>
    </cfRule>
    <cfRule type="containsText" dxfId="3047" priority="3332" operator="containsText" text="Not yet due">
      <formula>NOT(ISERROR(SEARCH("Not yet due",G50)))</formula>
    </cfRule>
    <cfRule type="containsText" dxfId="3046" priority="3333" operator="containsText" text="Completed Behind Schedule">
      <formula>NOT(ISERROR(SEARCH("Completed Behind Schedule",G50)))</formula>
    </cfRule>
    <cfRule type="containsText" dxfId="3045" priority="3334" operator="containsText" text="Off Target">
      <formula>NOT(ISERROR(SEARCH("Off Target",G50)))</formula>
    </cfRule>
    <cfRule type="containsText" dxfId="3044" priority="3335" operator="containsText" text="In Danger of Falling Behind Target">
      <formula>NOT(ISERROR(SEARCH("In Danger of Falling Behind Target",G50)))</formula>
    </cfRule>
    <cfRule type="containsText" dxfId="3043" priority="3336" operator="containsText" text="On Track to be Achieved">
      <formula>NOT(ISERROR(SEARCH("On Track to be Achieved",G50)))</formula>
    </cfRule>
    <cfRule type="containsText" dxfId="3042" priority="3337" operator="containsText" text="Fully Achieved">
      <formula>NOT(ISERROR(SEARCH("Fully Achieved",G50)))</formula>
    </cfRule>
    <cfRule type="containsText" dxfId="3041" priority="3338" operator="containsText" text="Update not Provided">
      <formula>NOT(ISERROR(SEARCH("Update not Provided",G50)))</formula>
    </cfRule>
    <cfRule type="containsText" dxfId="3040" priority="3339" operator="containsText" text="Not yet due">
      <formula>NOT(ISERROR(SEARCH("Not yet due",G50)))</formula>
    </cfRule>
    <cfRule type="containsText" dxfId="3039" priority="3340" operator="containsText" text="Completed Behind Schedule">
      <formula>NOT(ISERROR(SEARCH("Completed Behind Schedule",G50)))</formula>
    </cfRule>
    <cfRule type="containsText" dxfId="3038" priority="3341" operator="containsText" text="Off Target">
      <formula>NOT(ISERROR(SEARCH("Off Target",G50)))</formula>
    </cfRule>
    <cfRule type="containsText" dxfId="3037" priority="3342" operator="containsText" text="In Danger of Falling Behind Target">
      <formula>NOT(ISERROR(SEARCH("In Danger of Falling Behind Target",G50)))</formula>
    </cfRule>
    <cfRule type="containsText" dxfId="3036" priority="3343" operator="containsText" text="On Track to be Achieved">
      <formula>NOT(ISERROR(SEARCH("On Track to be Achieved",G50)))</formula>
    </cfRule>
    <cfRule type="containsText" dxfId="3035" priority="3344" operator="containsText" text="Fully Achieved">
      <formula>NOT(ISERROR(SEARCH("Fully Achieved",G50)))</formula>
    </cfRule>
    <cfRule type="containsText" dxfId="3034" priority="3345" operator="containsText" text="Fully Achieved">
      <formula>NOT(ISERROR(SEARCH("Fully Achieved",G50)))</formula>
    </cfRule>
    <cfRule type="containsText" dxfId="3033" priority="3346" operator="containsText" text="Fully Achieved">
      <formula>NOT(ISERROR(SEARCH("Fully Achieved",G50)))</formula>
    </cfRule>
    <cfRule type="containsText" dxfId="3032" priority="3347" operator="containsText" text="Deferred">
      <formula>NOT(ISERROR(SEARCH("Deferred",G50)))</formula>
    </cfRule>
    <cfRule type="containsText" dxfId="3031" priority="3348" operator="containsText" text="Deleted">
      <formula>NOT(ISERROR(SEARCH("Deleted",G50)))</formula>
    </cfRule>
    <cfRule type="containsText" dxfId="3030" priority="3349" operator="containsText" text="In Danger of Falling Behind Target">
      <formula>NOT(ISERROR(SEARCH("In Danger of Falling Behind Target",G50)))</formula>
    </cfRule>
    <cfRule type="containsText" dxfId="3029" priority="3350" operator="containsText" text="Not yet due">
      <formula>NOT(ISERROR(SEARCH("Not yet due",G50)))</formula>
    </cfRule>
    <cfRule type="containsText" dxfId="3028" priority="3351" operator="containsText" text="Update not Provided">
      <formula>NOT(ISERROR(SEARCH("Update not Provided",G50)))</formula>
    </cfRule>
  </conditionalFormatting>
  <conditionalFormatting sqref="G51:G53">
    <cfRule type="containsText" dxfId="3027" priority="3280" operator="containsText" text="On track to be achieved">
      <formula>NOT(ISERROR(SEARCH("On track to be achieved",G51)))</formula>
    </cfRule>
    <cfRule type="containsText" dxfId="3026" priority="3281" operator="containsText" text="Deferred">
      <formula>NOT(ISERROR(SEARCH("Deferred",G51)))</formula>
    </cfRule>
    <cfRule type="containsText" dxfId="3025" priority="3282" operator="containsText" text="Deleted">
      <formula>NOT(ISERROR(SEARCH("Deleted",G51)))</formula>
    </cfRule>
    <cfRule type="containsText" dxfId="3024" priority="3283" operator="containsText" text="In Danger of Falling Behind Target">
      <formula>NOT(ISERROR(SEARCH("In Danger of Falling Behind Target",G51)))</formula>
    </cfRule>
    <cfRule type="containsText" dxfId="3023" priority="3284" operator="containsText" text="Not yet due">
      <formula>NOT(ISERROR(SEARCH("Not yet due",G51)))</formula>
    </cfRule>
    <cfRule type="containsText" dxfId="3022" priority="3285" operator="containsText" text="Update not Provided">
      <formula>NOT(ISERROR(SEARCH("Update not Provided",G51)))</formula>
    </cfRule>
    <cfRule type="containsText" dxfId="3021" priority="3286" operator="containsText" text="Not yet due">
      <formula>NOT(ISERROR(SEARCH("Not yet due",G51)))</formula>
    </cfRule>
    <cfRule type="containsText" dxfId="3020" priority="3287" operator="containsText" text="Completed Behind Schedule">
      <formula>NOT(ISERROR(SEARCH("Completed Behind Schedule",G51)))</formula>
    </cfRule>
    <cfRule type="containsText" dxfId="3019" priority="3288" operator="containsText" text="Off Target">
      <formula>NOT(ISERROR(SEARCH("Off Target",G51)))</formula>
    </cfRule>
    <cfRule type="containsText" dxfId="3018" priority="3289" operator="containsText" text="On Track to be Achieved">
      <formula>NOT(ISERROR(SEARCH("On Track to be Achieved",G51)))</formula>
    </cfRule>
    <cfRule type="containsText" dxfId="3017" priority="3290" operator="containsText" text="Fully Achieved">
      <formula>NOT(ISERROR(SEARCH("Fully Achieved",G51)))</formula>
    </cfRule>
    <cfRule type="containsText" dxfId="3016" priority="3291" operator="containsText" text="Not yet due">
      <formula>NOT(ISERROR(SEARCH("Not yet due",G51)))</formula>
    </cfRule>
    <cfRule type="containsText" dxfId="3015" priority="3292" operator="containsText" text="Not Yet Due">
      <formula>NOT(ISERROR(SEARCH("Not Yet Due",G51)))</formula>
    </cfRule>
    <cfRule type="containsText" dxfId="3014" priority="3293" operator="containsText" text="Deferred">
      <formula>NOT(ISERROR(SEARCH("Deferred",G51)))</formula>
    </cfRule>
    <cfRule type="containsText" dxfId="3013" priority="3294" operator="containsText" text="Deleted">
      <formula>NOT(ISERROR(SEARCH("Deleted",G51)))</formula>
    </cfRule>
    <cfRule type="containsText" dxfId="3012" priority="3295" operator="containsText" text="In Danger of Falling Behind Target">
      <formula>NOT(ISERROR(SEARCH("In Danger of Falling Behind Target",G51)))</formula>
    </cfRule>
    <cfRule type="containsText" dxfId="3011" priority="3296" operator="containsText" text="Not yet due">
      <formula>NOT(ISERROR(SEARCH("Not yet due",G51)))</formula>
    </cfRule>
    <cfRule type="containsText" dxfId="3010" priority="3297" operator="containsText" text="Completed Behind Schedule">
      <formula>NOT(ISERROR(SEARCH("Completed Behind Schedule",G51)))</formula>
    </cfRule>
    <cfRule type="containsText" dxfId="3009" priority="3298" operator="containsText" text="Off Target">
      <formula>NOT(ISERROR(SEARCH("Off Target",G51)))</formula>
    </cfRule>
    <cfRule type="containsText" dxfId="3008" priority="3299" operator="containsText" text="In Danger of Falling Behind Target">
      <formula>NOT(ISERROR(SEARCH("In Danger of Falling Behind Target",G51)))</formula>
    </cfRule>
    <cfRule type="containsText" dxfId="3007" priority="3300" operator="containsText" text="On Track to be Achieved">
      <formula>NOT(ISERROR(SEARCH("On Track to be Achieved",G51)))</formula>
    </cfRule>
    <cfRule type="containsText" dxfId="3006" priority="3301" operator="containsText" text="Fully Achieved">
      <formula>NOT(ISERROR(SEARCH("Fully Achieved",G51)))</formula>
    </cfRule>
    <cfRule type="containsText" dxfId="3005" priority="3302" operator="containsText" text="Update not Provided">
      <formula>NOT(ISERROR(SEARCH("Update not Provided",G51)))</formula>
    </cfRule>
    <cfRule type="containsText" dxfId="3004" priority="3303" operator="containsText" text="Not yet due">
      <formula>NOT(ISERROR(SEARCH("Not yet due",G51)))</formula>
    </cfRule>
    <cfRule type="containsText" dxfId="3003" priority="3304" operator="containsText" text="Completed Behind Schedule">
      <formula>NOT(ISERROR(SEARCH("Completed Behind Schedule",G51)))</formula>
    </cfRule>
    <cfRule type="containsText" dxfId="3002" priority="3305" operator="containsText" text="Off Target">
      <formula>NOT(ISERROR(SEARCH("Off Target",G51)))</formula>
    </cfRule>
    <cfRule type="containsText" dxfId="3001" priority="3306" operator="containsText" text="In Danger of Falling Behind Target">
      <formula>NOT(ISERROR(SEARCH("In Danger of Falling Behind Target",G51)))</formula>
    </cfRule>
    <cfRule type="containsText" dxfId="3000" priority="3307" operator="containsText" text="On Track to be Achieved">
      <formula>NOT(ISERROR(SEARCH("On Track to be Achieved",G51)))</formula>
    </cfRule>
    <cfRule type="containsText" dxfId="2999" priority="3308" operator="containsText" text="Fully Achieved">
      <formula>NOT(ISERROR(SEARCH("Fully Achieved",G51)))</formula>
    </cfRule>
    <cfRule type="containsText" dxfId="2998" priority="3309" operator="containsText" text="Fully Achieved">
      <formula>NOT(ISERROR(SEARCH("Fully Achieved",G51)))</formula>
    </cfRule>
    <cfRule type="containsText" dxfId="2997" priority="3310" operator="containsText" text="Fully Achieved">
      <formula>NOT(ISERROR(SEARCH("Fully Achieved",G51)))</formula>
    </cfRule>
    <cfRule type="containsText" dxfId="2996" priority="3311" operator="containsText" text="Deferred">
      <formula>NOT(ISERROR(SEARCH("Deferred",G51)))</formula>
    </cfRule>
    <cfRule type="containsText" dxfId="2995" priority="3312" operator="containsText" text="Deleted">
      <formula>NOT(ISERROR(SEARCH("Deleted",G51)))</formula>
    </cfRule>
    <cfRule type="containsText" dxfId="2994" priority="3313" operator="containsText" text="In Danger of Falling Behind Target">
      <formula>NOT(ISERROR(SEARCH("In Danger of Falling Behind Target",G51)))</formula>
    </cfRule>
    <cfRule type="containsText" dxfId="2993" priority="3314" operator="containsText" text="Not yet due">
      <formula>NOT(ISERROR(SEARCH("Not yet due",G51)))</formula>
    </cfRule>
    <cfRule type="containsText" dxfId="2992" priority="3315" operator="containsText" text="Update not Provided">
      <formula>NOT(ISERROR(SEARCH("Update not Provided",G51)))</formula>
    </cfRule>
  </conditionalFormatting>
  <conditionalFormatting sqref="G54">
    <cfRule type="containsText" dxfId="2991" priority="3244" operator="containsText" text="On track to be achieved">
      <formula>NOT(ISERROR(SEARCH("On track to be achieved",G54)))</formula>
    </cfRule>
    <cfRule type="containsText" dxfId="2990" priority="3245" operator="containsText" text="Deferred">
      <formula>NOT(ISERROR(SEARCH("Deferred",G54)))</formula>
    </cfRule>
    <cfRule type="containsText" dxfId="2989" priority="3246" operator="containsText" text="Deleted">
      <formula>NOT(ISERROR(SEARCH("Deleted",G54)))</formula>
    </cfRule>
    <cfRule type="containsText" dxfId="2988" priority="3247" operator="containsText" text="In Danger of Falling Behind Target">
      <formula>NOT(ISERROR(SEARCH("In Danger of Falling Behind Target",G54)))</formula>
    </cfRule>
    <cfRule type="containsText" dxfId="2987" priority="3248" operator="containsText" text="Not yet due">
      <formula>NOT(ISERROR(SEARCH("Not yet due",G54)))</formula>
    </cfRule>
    <cfRule type="containsText" dxfId="2986" priority="3249" operator="containsText" text="Update not Provided">
      <formula>NOT(ISERROR(SEARCH("Update not Provided",G54)))</formula>
    </cfRule>
    <cfRule type="containsText" dxfId="2985" priority="3250" operator="containsText" text="Not yet due">
      <formula>NOT(ISERROR(SEARCH("Not yet due",G54)))</formula>
    </cfRule>
    <cfRule type="containsText" dxfId="2984" priority="3251" operator="containsText" text="Completed Behind Schedule">
      <formula>NOT(ISERROR(SEARCH("Completed Behind Schedule",G54)))</formula>
    </cfRule>
    <cfRule type="containsText" dxfId="2983" priority="3252" operator="containsText" text="Off Target">
      <formula>NOT(ISERROR(SEARCH("Off Target",G54)))</formula>
    </cfRule>
    <cfRule type="containsText" dxfId="2982" priority="3253" operator="containsText" text="On Track to be Achieved">
      <formula>NOT(ISERROR(SEARCH("On Track to be Achieved",G54)))</formula>
    </cfRule>
    <cfRule type="containsText" dxfId="2981" priority="3254" operator="containsText" text="Fully Achieved">
      <formula>NOT(ISERROR(SEARCH("Fully Achieved",G54)))</formula>
    </cfRule>
    <cfRule type="containsText" dxfId="2980" priority="3255" operator="containsText" text="Not yet due">
      <formula>NOT(ISERROR(SEARCH("Not yet due",G54)))</formula>
    </cfRule>
    <cfRule type="containsText" dxfId="2979" priority="3256" operator="containsText" text="Not Yet Due">
      <formula>NOT(ISERROR(SEARCH("Not Yet Due",G54)))</formula>
    </cfRule>
    <cfRule type="containsText" dxfId="2978" priority="3257" operator="containsText" text="Deferred">
      <formula>NOT(ISERROR(SEARCH("Deferred",G54)))</formula>
    </cfRule>
    <cfRule type="containsText" dxfId="2977" priority="3258" operator="containsText" text="Deleted">
      <formula>NOT(ISERROR(SEARCH("Deleted",G54)))</formula>
    </cfRule>
    <cfRule type="containsText" dxfId="2976" priority="3259" operator="containsText" text="In Danger of Falling Behind Target">
      <formula>NOT(ISERROR(SEARCH("In Danger of Falling Behind Target",G54)))</formula>
    </cfRule>
    <cfRule type="containsText" dxfId="2975" priority="3260" operator="containsText" text="Not yet due">
      <formula>NOT(ISERROR(SEARCH("Not yet due",G54)))</formula>
    </cfRule>
    <cfRule type="containsText" dxfId="2974" priority="3261" operator="containsText" text="Completed Behind Schedule">
      <formula>NOT(ISERROR(SEARCH("Completed Behind Schedule",G54)))</formula>
    </cfRule>
    <cfRule type="containsText" dxfId="2973" priority="3262" operator="containsText" text="Off Target">
      <formula>NOT(ISERROR(SEARCH("Off Target",G54)))</formula>
    </cfRule>
    <cfRule type="containsText" dxfId="2972" priority="3263" operator="containsText" text="In Danger of Falling Behind Target">
      <formula>NOT(ISERROR(SEARCH("In Danger of Falling Behind Target",G54)))</formula>
    </cfRule>
    <cfRule type="containsText" dxfId="2971" priority="3264" operator="containsText" text="On Track to be Achieved">
      <formula>NOT(ISERROR(SEARCH("On Track to be Achieved",G54)))</formula>
    </cfRule>
    <cfRule type="containsText" dxfId="2970" priority="3265" operator="containsText" text="Fully Achieved">
      <formula>NOT(ISERROR(SEARCH("Fully Achieved",G54)))</formula>
    </cfRule>
    <cfRule type="containsText" dxfId="2969" priority="3266" operator="containsText" text="Update not Provided">
      <formula>NOT(ISERROR(SEARCH("Update not Provided",G54)))</formula>
    </cfRule>
    <cfRule type="containsText" dxfId="2968" priority="3267" operator="containsText" text="Not yet due">
      <formula>NOT(ISERROR(SEARCH("Not yet due",G54)))</formula>
    </cfRule>
    <cfRule type="containsText" dxfId="2967" priority="3268" operator="containsText" text="Completed Behind Schedule">
      <formula>NOT(ISERROR(SEARCH("Completed Behind Schedule",G54)))</formula>
    </cfRule>
    <cfRule type="containsText" dxfId="2966" priority="3269" operator="containsText" text="Off Target">
      <formula>NOT(ISERROR(SEARCH("Off Target",G54)))</formula>
    </cfRule>
    <cfRule type="containsText" dxfId="2965" priority="3270" operator="containsText" text="In Danger of Falling Behind Target">
      <formula>NOT(ISERROR(SEARCH("In Danger of Falling Behind Target",G54)))</formula>
    </cfRule>
    <cfRule type="containsText" dxfId="2964" priority="3271" operator="containsText" text="On Track to be Achieved">
      <formula>NOT(ISERROR(SEARCH("On Track to be Achieved",G54)))</formula>
    </cfRule>
    <cfRule type="containsText" dxfId="2963" priority="3272" operator="containsText" text="Fully Achieved">
      <formula>NOT(ISERROR(SEARCH("Fully Achieved",G54)))</formula>
    </cfRule>
    <cfRule type="containsText" dxfId="2962" priority="3273" operator="containsText" text="Fully Achieved">
      <formula>NOT(ISERROR(SEARCH("Fully Achieved",G54)))</formula>
    </cfRule>
    <cfRule type="containsText" dxfId="2961" priority="3274" operator="containsText" text="Fully Achieved">
      <formula>NOT(ISERROR(SEARCH("Fully Achieved",G54)))</formula>
    </cfRule>
    <cfRule type="containsText" dxfId="2960" priority="3275" operator="containsText" text="Deferred">
      <formula>NOT(ISERROR(SEARCH("Deferred",G54)))</formula>
    </cfRule>
    <cfRule type="containsText" dxfId="2959" priority="3276" operator="containsText" text="Deleted">
      <formula>NOT(ISERROR(SEARCH("Deleted",G54)))</formula>
    </cfRule>
    <cfRule type="containsText" dxfId="2958" priority="3277" operator="containsText" text="In Danger of Falling Behind Target">
      <formula>NOT(ISERROR(SEARCH("In Danger of Falling Behind Target",G54)))</formula>
    </cfRule>
    <cfRule type="containsText" dxfId="2957" priority="3278" operator="containsText" text="Not yet due">
      <formula>NOT(ISERROR(SEARCH("Not yet due",G54)))</formula>
    </cfRule>
    <cfRule type="containsText" dxfId="2956" priority="3279" operator="containsText" text="Update not Provided">
      <formula>NOT(ISERROR(SEARCH("Update not Provided",G54)))</formula>
    </cfRule>
  </conditionalFormatting>
  <conditionalFormatting sqref="G54">
    <cfRule type="containsText" dxfId="2955" priority="3208" operator="containsText" text="On track to be achieved">
      <formula>NOT(ISERROR(SEARCH("On track to be achieved",G54)))</formula>
    </cfRule>
    <cfRule type="containsText" dxfId="2954" priority="3209" operator="containsText" text="Deferred">
      <formula>NOT(ISERROR(SEARCH("Deferred",G54)))</formula>
    </cfRule>
    <cfRule type="containsText" dxfId="2953" priority="3210" operator="containsText" text="Deleted">
      <formula>NOT(ISERROR(SEARCH("Deleted",G54)))</formula>
    </cfRule>
    <cfRule type="containsText" dxfId="2952" priority="3211" operator="containsText" text="In Danger of Falling Behind Target">
      <formula>NOT(ISERROR(SEARCH("In Danger of Falling Behind Target",G54)))</formula>
    </cfRule>
    <cfRule type="containsText" dxfId="2951" priority="3212" operator="containsText" text="Not yet due">
      <formula>NOT(ISERROR(SEARCH("Not yet due",G54)))</formula>
    </cfRule>
    <cfRule type="containsText" dxfId="2950" priority="3213" operator="containsText" text="Update not Provided">
      <formula>NOT(ISERROR(SEARCH("Update not Provided",G54)))</formula>
    </cfRule>
    <cfRule type="containsText" dxfId="2949" priority="3214" operator="containsText" text="Not yet due">
      <formula>NOT(ISERROR(SEARCH("Not yet due",G54)))</formula>
    </cfRule>
    <cfRule type="containsText" dxfId="2948" priority="3215" operator="containsText" text="Completed Behind Schedule">
      <formula>NOT(ISERROR(SEARCH("Completed Behind Schedule",G54)))</formula>
    </cfRule>
    <cfRule type="containsText" dxfId="2947" priority="3216" operator="containsText" text="Off Target">
      <formula>NOT(ISERROR(SEARCH("Off Target",G54)))</formula>
    </cfRule>
    <cfRule type="containsText" dxfId="2946" priority="3217" operator="containsText" text="On Track to be Achieved">
      <formula>NOT(ISERROR(SEARCH("On Track to be Achieved",G54)))</formula>
    </cfRule>
    <cfRule type="containsText" dxfId="2945" priority="3218" operator="containsText" text="Fully Achieved">
      <formula>NOT(ISERROR(SEARCH("Fully Achieved",G54)))</formula>
    </cfRule>
    <cfRule type="containsText" dxfId="2944" priority="3219" operator="containsText" text="Not yet due">
      <formula>NOT(ISERROR(SEARCH("Not yet due",G54)))</formula>
    </cfRule>
    <cfRule type="containsText" dxfId="2943" priority="3220" operator="containsText" text="Not Yet Due">
      <formula>NOT(ISERROR(SEARCH("Not Yet Due",G54)))</formula>
    </cfRule>
    <cfRule type="containsText" dxfId="2942" priority="3221" operator="containsText" text="Deferred">
      <formula>NOT(ISERROR(SEARCH("Deferred",G54)))</formula>
    </cfRule>
    <cfRule type="containsText" dxfId="2941" priority="3222" operator="containsText" text="Deleted">
      <formula>NOT(ISERROR(SEARCH("Deleted",G54)))</formula>
    </cfRule>
    <cfRule type="containsText" dxfId="2940" priority="3223" operator="containsText" text="In Danger of Falling Behind Target">
      <formula>NOT(ISERROR(SEARCH("In Danger of Falling Behind Target",G54)))</formula>
    </cfRule>
    <cfRule type="containsText" dxfId="2939" priority="3224" operator="containsText" text="Not yet due">
      <formula>NOT(ISERROR(SEARCH("Not yet due",G54)))</formula>
    </cfRule>
    <cfRule type="containsText" dxfId="2938" priority="3225" operator="containsText" text="Completed Behind Schedule">
      <formula>NOT(ISERROR(SEARCH("Completed Behind Schedule",G54)))</formula>
    </cfRule>
    <cfRule type="containsText" dxfId="2937" priority="3226" operator="containsText" text="Off Target">
      <formula>NOT(ISERROR(SEARCH("Off Target",G54)))</formula>
    </cfRule>
    <cfRule type="containsText" dxfId="2936" priority="3227" operator="containsText" text="In Danger of Falling Behind Target">
      <formula>NOT(ISERROR(SEARCH("In Danger of Falling Behind Target",G54)))</formula>
    </cfRule>
    <cfRule type="containsText" dxfId="2935" priority="3228" operator="containsText" text="On Track to be Achieved">
      <formula>NOT(ISERROR(SEARCH("On Track to be Achieved",G54)))</formula>
    </cfRule>
    <cfRule type="containsText" dxfId="2934" priority="3229" operator="containsText" text="Fully Achieved">
      <formula>NOT(ISERROR(SEARCH("Fully Achieved",G54)))</formula>
    </cfRule>
    <cfRule type="containsText" dxfId="2933" priority="3230" operator="containsText" text="Update not Provided">
      <formula>NOT(ISERROR(SEARCH("Update not Provided",G54)))</formula>
    </cfRule>
    <cfRule type="containsText" dxfId="2932" priority="3231" operator="containsText" text="Not yet due">
      <formula>NOT(ISERROR(SEARCH("Not yet due",G54)))</formula>
    </cfRule>
    <cfRule type="containsText" dxfId="2931" priority="3232" operator="containsText" text="Completed Behind Schedule">
      <formula>NOT(ISERROR(SEARCH("Completed Behind Schedule",G54)))</formula>
    </cfRule>
    <cfRule type="containsText" dxfId="2930" priority="3233" operator="containsText" text="Off Target">
      <formula>NOT(ISERROR(SEARCH("Off Target",G54)))</formula>
    </cfRule>
    <cfRule type="containsText" dxfId="2929" priority="3234" operator="containsText" text="In Danger of Falling Behind Target">
      <formula>NOT(ISERROR(SEARCH("In Danger of Falling Behind Target",G54)))</formula>
    </cfRule>
    <cfRule type="containsText" dxfId="2928" priority="3235" operator="containsText" text="On Track to be Achieved">
      <formula>NOT(ISERROR(SEARCH("On Track to be Achieved",G54)))</formula>
    </cfRule>
    <cfRule type="containsText" dxfId="2927" priority="3236" operator="containsText" text="Fully Achieved">
      <formula>NOT(ISERROR(SEARCH("Fully Achieved",G54)))</formula>
    </cfRule>
    <cfRule type="containsText" dxfId="2926" priority="3237" operator="containsText" text="Fully Achieved">
      <formula>NOT(ISERROR(SEARCH("Fully Achieved",G54)))</formula>
    </cfRule>
    <cfRule type="containsText" dxfId="2925" priority="3238" operator="containsText" text="Fully Achieved">
      <formula>NOT(ISERROR(SEARCH("Fully Achieved",G54)))</formula>
    </cfRule>
    <cfRule type="containsText" dxfId="2924" priority="3239" operator="containsText" text="Deferred">
      <formula>NOT(ISERROR(SEARCH("Deferred",G54)))</formula>
    </cfRule>
    <cfRule type="containsText" dxfId="2923" priority="3240" operator="containsText" text="Deleted">
      <formula>NOT(ISERROR(SEARCH("Deleted",G54)))</formula>
    </cfRule>
    <cfRule type="containsText" dxfId="2922" priority="3241" operator="containsText" text="In Danger of Falling Behind Target">
      <formula>NOT(ISERROR(SEARCH("In Danger of Falling Behind Target",G54)))</formula>
    </cfRule>
    <cfRule type="containsText" dxfId="2921" priority="3242" operator="containsText" text="Not yet due">
      <formula>NOT(ISERROR(SEARCH("Not yet due",G54)))</formula>
    </cfRule>
    <cfRule type="containsText" dxfId="2920" priority="3243" operator="containsText" text="Update not Provided">
      <formula>NOT(ISERROR(SEARCH("Update not Provided",G54)))</formula>
    </cfRule>
  </conditionalFormatting>
  <conditionalFormatting sqref="G55:G60">
    <cfRule type="containsText" dxfId="2919" priority="3172" operator="containsText" text="On track to be achieved">
      <formula>NOT(ISERROR(SEARCH("On track to be achieved",G55)))</formula>
    </cfRule>
    <cfRule type="containsText" dxfId="2918" priority="3173" operator="containsText" text="Deferred">
      <formula>NOT(ISERROR(SEARCH("Deferred",G55)))</formula>
    </cfRule>
    <cfRule type="containsText" dxfId="2917" priority="3174" operator="containsText" text="Deleted">
      <formula>NOT(ISERROR(SEARCH("Deleted",G55)))</formula>
    </cfRule>
    <cfRule type="containsText" dxfId="2916" priority="3175" operator="containsText" text="In Danger of Falling Behind Target">
      <formula>NOT(ISERROR(SEARCH("In Danger of Falling Behind Target",G55)))</formula>
    </cfRule>
    <cfRule type="containsText" dxfId="2915" priority="3176" operator="containsText" text="Not yet due">
      <formula>NOT(ISERROR(SEARCH("Not yet due",G55)))</formula>
    </cfRule>
    <cfRule type="containsText" dxfId="2914" priority="3177" operator="containsText" text="Update not Provided">
      <formula>NOT(ISERROR(SEARCH("Update not Provided",G55)))</formula>
    </cfRule>
    <cfRule type="containsText" dxfId="2913" priority="3178" operator="containsText" text="Not yet due">
      <formula>NOT(ISERROR(SEARCH("Not yet due",G55)))</formula>
    </cfRule>
    <cfRule type="containsText" dxfId="2912" priority="3179" operator="containsText" text="Completed Behind Schedule">
      <formula>NOT(ISERROR(SEARCH("Completed Behind Schedule",G55)))</formula>
    </cfRule>
    <cfRule type="containsText" dxfId="2911" priority="3180" operator="containsText" text="Off Target">
      <formula>NOT(ISERROR(SEARCH("Off Target",G55)))</formula>
    </cfRule>
    <cfRule type="containsText" dxfId="2910" priority="3181" operator="containsText" text="On Track to be Achieved">
      <formula>NOT(ISERROR(SEARCH("On Track to be Achieved",G55)))</formula>
    </cfRule>
    <cfRule type="containsText" dxfId="2909" priority="3182" operator="containsText" text="Fully Achieved">
      <formula>NOT(ISERROR(SEARCH("Fully Achieved",G55)))</formula>
    </cfRule>
    <cfRule type="containsText" dxfId="2908" priority="3183" operator="containsText" text="Not yet due">
      <formula>NOT(ISERROR(SEARCH("Not yet due",G55)))</formula>
    </cfRule>
    <cfRule type="containsText" dxfId="2907" priority="3184" operator="containsText" text="Not Yet Due">
      <formula>NOT(ISERROR(SEARCH("Not Yet Due",G55)))</formula>
    </cfRule>
    <cfRule type="containsText" dxfId="2906" priority="3185" operator="containsText" text="Deferred">
      <formula>NOT(ISERROR(SEARCH("Deferred",G55)))</formula>
    </cfRule>
    <cfRule type="containsText" dxfId="2905" priority="3186" operator="containsText" text="Deleted">
      <formula>NOT(ISERROR(SEARCH("Deleted",G55)))</formula>
    </cfRule>
    <cfRule type="containsText" dxfId="2904" priority="3187" operator="containsText" text="In Danger of Falling Behind Target">
      <formula>NOT(ISERROR(SEARCH("In Danger of Falling Behind Target",G55)))</formula>
    </cfRule>
    <cfRule type="containsText" dxfId="2903" priority="3188" operator="containsText" text="Not yet due">
      <formula>NOT(ISERROR(SEARCH("Not yet due",G55)))</formula>
    </cfRule>
    <cfRule type="containsText" dxfId="2902" priority="3189" operator="containsText" text="Completed Behind Schedule">
      <formula>NOT(ISERROR(SEARCH("Completed Behind Schedule",G55)))</formula>
    </cfRule>
    <cfRule type="containsText" dxfId="2901" priority="3190" operator="containsText" text="Off Target">
      <formula>NOT(ISERROR(SEARCH("Off Target",G55)))</formula>
    </cfRule>
    <cfRule type="containsText" dxfId="2900" priority="3191" operator="containsText" text="In Danger of Falling Behind Target">
      <formula>NOT(ISERROR(SEARCH("In Danger of Falling Behind Target",G55)))</formula>
    </cfRule>
    <cfRule type="containsText" dxfId="2899" priority="3192" operator="containsText" text="On Track to be Achieved">
      <formula>NOT(ISERROR(SEARCH("On Track to be Achieved",G55)))</formula>
    </cfRule>
    <cfRule type="containsText" dxfId="2898" priority="3193" operator="containsText" text="Fully Achieved">
      <formula>NOT(ISERROR(SEARCH("Fully Achieved",G55)))</formula>
    </cfRule>
    <cfRule type="containsText" dxfId="2897" priority="3194" operator="containsText" text="Update not Provided">
      <formula>NOT(ISERROR(SEARCH("Update not Provided",G55)))</formula>
    </cfRule>
    <cfRule type="containsText" dxfId="2896" priority="3195" operator="containsText" text="Not yet due">
      <formula>NOT(ISERROR(SEARCH("Not yet due",G55)))</formula>
    </cfRule>
    <cfRule type="containsText" dxfId="2895" priority="3196" operator="containsText" text="Completed Behind Schedule">
      <formula>NOT(ISERROR(SEARCH("Completed Behind Schedule",G55)))</formula>
    </cfRule>
    <cfRule type="containsText" dxfId="2894" priority="3197" operator="containsText" text="Off Target">
      <formula>NOT(ISERROR(SEARCH("Off Target",G55)))</formula>
    </cfRule>
    <cfRule type="containsText" dxfId="2893" priority="3198" operator="containsText" text="In Danger of Falling Behind Target">
      <formula>NOT(ISERROR(SEARCH("In Danger of Falling Behind Target",G55)))</formula>
    </cfRule>
    <cfRule type="containsText" dxfId="2892" priority="3199" operator="containsText" text="On Track to be Achieved">
      <formula>NOT(ISERROR(SEARCH("On Track to be Achieved",G55)))</formula>
    </cfRule>
    <cfRule type="containsText" dxfId="2891" priority="3200" operator="containsText" text="Fully Achieved">
      <formula>NOT(ISERROR(SEARCH("Fully Achieved",G55)))</formula>
    </cfRule>
    <cfRule type="containsText" dxfId="2890" priority="3201" operator="containsText" text="Fully Achieved">
      <formula>NOT(ISERROR(SEARCH("Fully Achieved",G55)))</formula>
    </cfRule>
    <cfRule type="containsText" dxfId="2889" priority="3202" operator="containsText" text="Fully Achieved">
      <formula>NOT(ISERROR(SEARCH("Fully Achieved",G55)))</formula>
    </cfRule>
    <cfRule type="containsText" dxfId="2888" priority="3203" operator="containsText" text="Deferred">
      <formula>NOT(ISERROR(SEARCH("Deferred",G55)))</formula>
    </cfRule>
    <cfRule type="containsText" dxfId="2887" priority="3204" operator="containsText" text="Deleted">
      <formula>NOT(ISERROR(SEARCH("Deleted",G55)))</formula>
    </cfRule>
    <cfRule type="containsText" dxfId="2886" priority="3205" operator="containsText" text="In Danger of Falling Behind Target">
      <formula>NOT(ISERROR(SEARCH("In Danger of Falling Behind Target",G55)))</formula>
    </cfRule>
    <cfRule type="containsText" dxfId="2885" priority="3206" operator="containsText" text="Not yet due">
      <formula>NOT(ISERROR(SEARCH("Not yet due",G55)))</formula>
    </cfRule>
    <cfRule type="containsText" dxfId="2884" priority="3207" operator="containsText" text="Update not Provided">
      <formula>NOT(ISERROR(SEARCH("Update not Provided",G55)))</formula>
    </cfRule>
  </conditionalFormatting>
  <conditionalFormatting sqref="G62:G68">
    <cfRule type="containsText" dxfId="2883" priority="3136" operator="containsText" text="On track to be achieved">
      <formula>NOT(ISERROR(SEARCH("On track to be achieved",G62)))</formula>
    </cfRule>
    <cfRule type="containsText" dxfId="2882" priority="3137" operator="containsText" text="Deferred">
      <formula>NOT(ISERROR(SEARCH("Deferred",G62)))</formula>
    </cfRule>
    <cfRule type="containsText" dxfId="2881" priority="3138" operator="containsText" text="Deleted">
      <formula>NOT(ISERROR(SEARCH("Deleted",G62)))</formula>
    </cfRule>
    <cfRule type="containsText" dxfId="2880" priority="3139" operator="containsText" text="In Danger of Falling Behind Target">
      <formula>NOT(ISERROR(SEARCH("In Danger of Falling Behind Target",G62)))</formula>
    </cfRule>
    <cfRule type="containsText" dxfId="2879" priority="3140" operator="containsText" text="Not yet due">
      <formula>NOT(ISERROR(SEARCH("Not yet due",G62)))</formula>
    </cfRule>
    <cfRule type="containsText" dxfId="2878" priority="3141" operator="containsText" text="Update not Provided">
      <formula>NOT(ISERROR(SEARCH("Update not Provided",G62)))</formula>
    </cfRule>
    <cfRule type="containsText" dxfId="2877" priority="3142" operator="containsText" text="Not yet due">
      <formula>NOT(ISERROR(SEARCH("Not yet due",G62)))</formula>
    </cfRule>
    <cfRule type="containsText" dxfId="2876" priority="3143" operator="containsText" text="Completed Behind Schedule">
      <formula>NOT(ISERROR(SEARCH("Completed Behind Schedule",G62)))</formula>
    </cfRule>
    <cfRule type="containsText" dxfId="2875" priority="3144" operator="containsText" text="Off Target">
      <formula>NOT(ISERROR(SEARCH("Off Target",G62)))</formula>
    </cfRule>
    <cfRule type="containsText" dxfId="2874" priority="3145" operator="containsText" text="On Track to be Achieved">
      <formula>NOT(ISERROR(SEARCH("On Track to be Achieved",G62)))</formula>
    </cfRule>
    <cfRule type="containsText" dxfId="2873" priority="3146" operator="containsText" text="Fully Achieved">
      <formula>NOT(ISERROR(SEARCH("Fully Achieved",G62)))</formula>
    </cfRule>
    <cfRule type="containsText" dxfId="2872" priority="3147" operator="containsText" text="Not yet due">
      <formula>NOT(ISERROR(SEARCH("Not yet due",G62)))</formula>
    </cfRule>
    <cfRule type="containsText" dxfId="2871" priority="3148" operator="containsText" text="Not Yet Due">
      <formula>NOT(ISERROR(SEARCH("Not Yet Due",G62)))</formula>
    </cfRule>
    <cfRule type="containsText" dxfId="2870" priority="3149" operator="containsText" text="Deferred">
      <formula>NOT(ISERROR(SEARCH("Deferred",G62)))</formula>
    </cfRule>
    <cfRule type="containsText" dxfId="2869" priority="3150" operator="containsText" text="Deleted">
      <formula>NOT(ISERROR(SEARCH("Deleted",G62)))</formula>
    </cfRule>
    <cfRule type="containsText" dxfId="2868" priority="3151" operator="containsText" text="In Danger of Falling Behind Target">
      <formula>NOT(ISERROR(SEARCH("In Danger of Falling Behind Target",G62)))</formula>
    </cfRule>
    <cfRule type="containsText" dxfId="2867" priority="3152" operator="containsText" text="Not yet due">
      <formula>NOT(ISERROR(SEARCH("Not yet due",G62)))</formula>
    </cfRule>
    <cfRule type="containsText" dxfId="2866" priority="3153" operator="containsText" text="Completed Behind Schedule">
      <formula>NOT(ISERROR(SEARCH("Completed Behind Schedule",G62)))</formula>
    </cfRule>
    <cfRule type="containsText" dxfId="2865" priority="3154" operator="containsText" text="Off Target">
      <formula>NOT(ISERROR(SEARCH("Off Target",G62)))</formula>
    </cfRule>
    <cfRule type="containsText" dxfId="2864" priority="3155" operator="containsText" text="In Danger of Falling Behind Target">
      <formula>NOT(ISERROR(SEARCH("In Danger of Falling Behind Target",G62)))</formula>
    </cfRule>
    <cfRule type="containsText" dxfId="2863" priority="3156" operator="containsText" text="On Track to be Achieved">
      <formula>NOT(ISERROR(SEARCH("On Track to be Achieved",G62)))</formula>
    </cfRule>
    <cfRule type="containsText" dxfId="2862" priority="3157" operator="containsText" text="Fully Achieved">
      <formula>NOT(ISERROR(SEARCH("Fully Achieved",G62)))</formula>
    </cfRule>
    <cfRule type="containsText" dxfId="2861" priority="3158" operator="containsText" text="Update not Provided">
      <formula>NOT(ISERROR(SEARCH("Update not Provided",G62)))</formula>
    </cfRule>
    <cfRule type="containsText" dxfId="2860" priority="3159" operator="containsText" text="Not yet due">
      <formula>NOT(ISERROR(SEARCH("Not yet due",G62)))</formula>
    </cfRule>
    <cfRule type="containsText" dxfId="2859" priority="3160" operator="containsText" text="Completed Behind Schedule">
      <formula>NOT(ISERROR(SEARCH("Completed Behind Schedule",G62)))</formula>
    </cfRule>
    <cfRule type="containsText" dxfId="2858" priority="3161" operator="containsText" text="Off Target">
      <formula>NOT(ISERROR(SEARCH("Off Target",G62)))</formula>
    </cfRule>
    <cfRule type="containsText" dxfId="2857" priority="3162" operator="containsText" text="In Danger of Falling Behind Target">
      <formula>NOT(ISERROR(SEARCH("In Danger of Falling Behind Target",G62)))</formula>
    </cfRule>
    <cfRule type="containsText" dxfId="2856" priority="3163" operator="containsText" text="On Track to be Achieved">
      <formula>NOT(ISERROR(SEARCH("On Track to be Achieved",G62)))</formula>
    </cfRule>
    <cfRule type="containsText" dxfId="2855" priority="3164" operator="containsText" text="Fully Achieved">
      <formula>NOT(ISERROR(SEARCH("Fully Achieved",G62)))</formula>
    </cfRule>
    <cfRule type="containsText" dxfId="2854" priority="3165" operator="containsText" text="Fully Achieved">
      <formula>NOT(ISERROR(SEARCH("Fully Achieved",G62)))</formula>
    </cfRule>
    <cfRule type="containsText" dxfId="2853" priority="3166" operator="containsText" text="Fully Achieved">
      <formula>NOT(ISERROR(SEARCH("Fully Achieved",G62)))</formula>
    </cfRule>
    <cfRule type="containsText" dxfId="2852" priority="3167" operator="containsText" text="Deferred">
      <formula>NOT(ISERROR(SEARCH("Deferred",G62)))</formula>
    </cfRule>
    <cfRule type="containsText" dxfId="2851" priority="3168" operator="containsText" text="Deleted">
      <formula>NOT(ISERROR(SEARCH("Deleted",G62)))</formula>
    </cfRule>
    <cfRule type="containsText" dxfId="2850" priority="3169" operator="containsText" text="In Danger of Falling Behind Target">
      <formula>NOT(ISERROR(SEARCH("In Danger of Falling Behind Target",G62)))</formula>
    </cfRule>
    <cfRule type="containsText" dxfId="2849" priority="3170" operator="containsText" text="Not yet due">
      <formula>NOT(ISERROR(SEARCH("Not yet due",G62)))</formula>
    </cfRule>
    <cfRule type="containsText" dxfId="2848" priority="3171" operator="containsText" text="Update not Provided">
      <formula>NOT(ISERROR(SEARCH("Update not Provided",G62)))</formula>
    </cfRule>
  </conditionalFormatting>
  <conditionalFormatting sqref="G69">
    <cfRule type="containsText" dxfId="2847" priority="3100" operator="containsText" text="On track to be achieved">
      <formula>NOT(ISERROR(SEARCH("On track to be achieved",G69)))</formula>
    </cfRule>
    <cfRule type="containsText" dxfId="2846" priority="3101" operator="containsText" text="Deferred">
      <formula>NOT(ISERROR(SEARCH("Deferred",G69)))</formula>
    </cfRule>
    <cfRule type="containsText" dxfId="2845" priority="3102" operator="containsText" text="Deleted">
      <formula>NOT(ISERROR(SEARCH("Deleted",G69)))</formula>
    </cfRule>
    <cfRule type="containsText" dxfId="2844" priority="3103" operator="containsText" text="In Danger of Falling Behind Target">
      <formula>NOT(ISERROR(SEARCH("In Danger of Falling Behind Target",G69)))</formula>
    </cfRule>
    <cfRule type="containsText" dxfId="2843" priority="3104" operator="containsText" text="Not yet due">
      <formula>NOT(ISERROR(SEARCH("Not yet due",G69)))</formula>
    </cfRule>
    <cfRule type="containsText" dxfId="2842" priority="3105" operator="containsText" text="Update not Provided">
      <formula>NOT(ISERROR(SEARCH("Update not Provided",G69)))</formula>
    </cfRule>
    <cfRule type="containsText" dxfId="2841" priority="3106" operator="containsText" text="Not yet due">
      <formula>NOT(ISERROR(SEARCH("Not yet due",G69)))</formula>
    </cfRule>
    <cfRule type="containsText" dxfId="2840" priority="3107" operator="containsText" text="Completed Behind Schedule">
      <formula>NOT(ISERROR(SEARCH("Completed Behind Schedule",G69)))</formula>
    </cfRule>
    <cfRule type="containsText" dxfId="2839" priority="3108" operator="containsText" text="Off Target">
      <formula>NOT(ISERROR(SEARCH("Off Target",G69)))</formula>
    </cfRule>
    <cfRule type="containsText" dxfId="2838" priority="3109" operator="containsText" text="On Track to be Achieved">
      <formula>NOT(ISERROR(SEARCH("On Track to be Achieved",G69)))</formula>
    </cfRule>
    <cfRule type="containsText" dxfId="2837" priority="3110" operator="containsText" text="Fully Achieved">
      <formula>NOT(ISERROR(SEARCH("Fully Achieved",G69)))</formula>
    </cfRule>
    <cfRule type="containsText" dxfId="2836" priority="3111" operator="containsText" text="Not yet due">
      <formula>NOT(ISERROR(SEARCH("Not yet due",G69)))</formula>
    </cfRule>
    <cfRule type="containsText" dxfId="2835" priority="3112" operator="containsText" text="Not Yet Due">
      <formula>NOT(ISERROR(SEARCH("Not Yet Due",G69)))</formula>
    </cfRule>
    <cfRule type="containsText" dxfId="2834" priority="3113" operator="containsText" text="Deferred">
      <formula>NOT(ISERROR(SEARCH("Deferred",G69)))</formula>
    </cfRule>
    <cfRule type="containsText" dxfId="2833" priority="3114" operator="containsText" text="Deleted">
      <formula>NOT(ISERROR(SEARCH("Deleted",G69)))</formula>
    </cfRule>
    <cfRule type="containsText" dxfId="2832" priority="3115" operator="containsText" text="In Danger of Falling Behind Target">
      <formula>NOT(ISERROR(SEARCH("In Danger of Falling Behind Target",G69)))</formula>
    </cfRule>
    <cfRule type="containsText" dxfId="2831" priority="3116" operator="containsText" text="Not yet due">
      <formula>NOT(ISERROR(SEARCH("Not yet due",G69)))</formula>
    </cfRule>
    <cfRule type="containsText" dxfId="2830" priority="3117" operator="containsText" text="Completed Behind Schedule">
      <formula>NOT(ISERROR(SEARCH("Completed Behind Schedule",G69)))</formula>
    </cfRule>
    <cfRule type="containsText" dxfId="2829" priority="3118" operator="containsText" text="Off Target">
      <formula>NOT(ISERROR(SEARCH("Off Target",G69)))</formula>
    </cfRule>
    <cfRule type="containsText" dxfId="2828" priority="3119" operator="containsText" text="In Danger of Falling Behind Target">
      <formula>NOT(ISERROR(SEARCH("In Danger of Falling Behind Target",G69)))</formula>
    </cfRule>
    <cfRule type="containsText" dxfId="2827" priority="3120" operator="containsText" text="On Track to be Achieved">
      <formula>NOT(ISERROR(SEARCH("On Track to be Achieved",G69)))</formula>
    </cfRule>
    <cfRule type="containsText" dxfId="2826" priority="3121" operator="containsText" text="Fully Achieved">
      <formula>NOT(ISERROR(SEARCH("Fully Achieved",G69)))</formula>
    </cfRule>
    <cfRule type="containsText" dxfId="2825" priority="3122" operator="containsText" text="Update not Provided">
      <formula>NOT(ISERROR(SEARCH("Update not Provided",G69)))</formula>
    </cfRule>
    <cfRule type="containsText" dxfId="2824" priority="3123" operator="containsText" text="Not yet due">
      <formula>NOT(ISERROR(SEARCH("Not yet due",G69)))</formula>
    </cfRule>
    <cfRule type="containsText" dxfId="2823" priority="3124" operator="containsText" text="Completed Behind Schedule">
      <formula>NOT(ISERROR(SEARCH("Completed Behind Schedule",G69)))</formula>
    </cfRule>
    <cfRule type="containsText" dxfId="2822" priority="3125" operator="containsText" text="Off Target">
      <formula>NOT(ISERROR(SEARCH("Off Target",G69)))</formula>
    </cfRule>
    <cfRule type="containsText" dxfId="2821" priority="3126" operator="containsText" text="In Danger of Falling Behind Target">
      <formula>NOT(ISERROR(SEARCH("In Danger of Falling Behind Target",G69)))</formula>
    </cfRule>
    <cfRule type="containsText" dxfId="2820" priority="3127" operator="containsText" text="On Track to be Achieved">
      <formula>NOT(ISERROR(SEARCH("On Track to be Achieved",G69)))</formula>
    </cfRule>
    <cfRule type="containsText" dxfId="2819" priority="3128" operator="containsText" text="Fully Achieved">
      <formula>NOT(ISERROR(SEARCH("Fully Achieved",G69)))</formula>
    </cfRule>
    <cfRule type="containsText" dxfId="2818" priority="3129" operator="containsText" text="Fully Achieved">
      <formula>NOT(ISERROR(SEARCH("Fully Achieved",G69)))</formula>
    </cfRule>
    <cfRule type="containsText" dxfId="2817" priority="3130" operator="containsText" text="Fully Achieved">
      <formula>NOT(ISERROR(SEARCH("Fully Achieved",G69)))</formula>
    </cfRule>
    <cfRule type="containsText" dxfId="2816" priority="3131" operator="containsText" text="Deferred">
      <formula>NOT(ISERROR(SEARCH("Deferred",G69)))</formula>
    </cfRule>
    <cfRule type="containsText" dxfId="2815" priority="3132" operator="containsText" text="Deleted">
      <formula>NOT(ISERROR(SEARCH("Deleted",G69)))</formula>
    </cfRule>
    <cfRule type="containsText" dxfId="2814" priority="3133" operator="containsText" text="In Danger of Falling Behind Target">
      <formula>NOT(ISERROR(SEARCH("In Danger of Falling Behind Target",G69)))</formula>
    </cfRule>
    <cfRule type="containsText" dxfId="2813" priority="3134" operator="containsText" text="Not yet due">
      <formula>NOT(ISERROR(SEARCH("Not yet due",G69)))</formula>
    </cfRule>
    <cfRule type="containsText" dxfId="2812" priority="3135" operator="containsText" text="Update not Provided">
      <formula>NOT(ISERROR(SEARCH("Update not Provided",G69)))</formula>
    </cfRule>
  </conditionalFormatting>
  <conditionalFormatting sqref="G69">
    <cfRule type="containsText" dxfId="2811" priority="3064" operator="containsText" text="On track to be achieved">
      <formula>NOT(ISERROR(SEARCH("On track to be achieved",G69)))</formula>
    </cfRule>
    <cfRule type="containsText" dxfId="2810" priority="3065" operator="containsText" text="Deferred">
      <formula>NOT(ISERROR(SEARCH("Deferred",G69)))</formula>
    </cfRule>
    <cfRule type="containsText" dxfId="2809" priority="3066" operator="containsText" text="Deleted">
      <formula>NOT(ISERROR(SEARCH("Deleted",G69)))</formula>
    </cfRule>
    <cfRule type="containsText" dxfId="2808" priority="3067" operator="containsText" text="In Danger of Falling Behind Target">
      <formula>NOT(ISERROR(SEARCH("In Danger of Falling Behind Target",G69)))</formula>
    </cfRule>
    <cfRule type="containsText" dxfId="2807" priority="3068" operator="containsText" text="Not yet due">
      <formula>NOT(ISERROR(SEARCH("Not yet due",G69)))</formula>
    </cfRule>
    <cfRule type="containsText" dxfId="2806" priority="3069" operator="containsText" text="Update not Provided">
      <formula>NOT(ISERROR(SEARCH("Update not Provided",G69)))</formula>
    </cfRule>
    <cfRule type="containsText" dxfId="2805" priority="3070" operator="containsText" text="Not yet due">
      <formula>NOT(ISERROR(SEARCH("Not yet due",G69)))</formula>
    </cfRule>
    <cfRule type="containsText" dxfId="2804" priority="3071" operator="containsText" text="Completed Behind Schedule">
      <formula>NOT(ISERROR(SEARCH("Completed Behind Schedule",G69)))</formula>
    </cfRule>
    <cfRule type="containsText" dxfId="2803" priority="3072" operator="containsText" text="Off Target">
      <formula>NOT(ISERROR(SEARCH("Off Target",G69)))</formula>
    </cfRule>
    <cfRule type="containsText" dxfId="2802" priority="3073" operator="containsText" text="On Track to be Achieved">
      <formula>NOT(ISERROR(SEARCH("On Track to be Achieved",G69)))</formula>
    </cfRule>
    <cfRule type="containsText" dxfId="2801" priority="3074" operator="containsText" text="Fully Achieved">
      <formula>NOT(ISERROR(SEARCH("Fully Achieved",G69)))</formula>
    </cfRule>
    <cfRule type="containsText" dxfId="2800" priority="3075" operator="containsText" text="Not yet due">
      <formula>NOT(ISERROR(SEARCH("Not yet due",G69)))</formula>
    </cfRule>
    <cfRule type="containsText" dxfId="2799" priority="3076" operator="containsText" text="Not Yet Due">
      <formula>NOT(ISERROR(SEARCH("Not Yet Due",G69)))</formula>
    </cfRule>
    <cfRule type="containsText" dxfId="2798" priority="3077" operator="containsText" text="Deferred">
      <formula>NOT(ISERROR(SEARCH("Deferred",G69)))</formula>
    </cfRule>
    <cfRule type="containsText" dxfId="2797" priority="3078" operator="containsText" text="Deleted">
      <formula>NOT(ISERROR(SEARCH("Deleted",G69)))</formula>
    </cfRule>
    <cfRule type="containsText" dxfId="2796" priority="3079" operator="containsText" text="In Danger of Falling Behind Target">
      <formula>NOT(ISERROR(SEARCH("In Danger of Falling Behind Target",G69)))</formula>
    </cfRule>
    <cfRule type="containsText" dxfId="2795" priority="3080" operator="containsText" text="Not yet due">
      <formula>NOT(ISERROR(SEARCH("Not yet due",G69)))</formula>
    </cfRule>
    <cfRule type="containsText" dxfId="2794" priority="3081" operator="containsText" text="Completed Behind Schedule">
      <formula>NOT(ISERROR(SEARCH("Completed Behind Schedule",G69)))</formula>
    </cfRule>
    <cfRule type="containsText" dxfId="2793" priority="3082" operator="containsText" text="Off Target">
      <formula>NOT(ISERROR(SEARCH("Off Target",G69)))</formula>
    </cfRule>
    <cfRule type="containsText" dxfId="2792" priority="3083" operator="containsText" text="In Danger of Falling Behind Target">
      <formula>NOT(ISERROR(SEARCH("In Danger of Falling Behind Target",G69)))</formula>
    </cfRule>
    <cfRule type="containsText" dxfId="2791" priority="3084" operator="containsText" text="On Track to be Achieved">
      <formula>NOT(ISERROR(SEARCH("On Track to be Achieved",G69)))</formula>
    </cfRule>
    <cfRule type="containsText" dxfId="2790" priority="3085" operator="containsText" text="Fully Achieved">
      <formula>NOT(ISERROR(SEARCH("Fully Achieved",G69)))</formula>
    </cfRule>
    <cfRule type="containsText" dxfId="2789" priority="3086" operator="containsText" text="Update not Provided">
      <formula>NOT(ISERROR(SEARCH("Update not Provided",G69)))</formula>
    </cfRule>
    <cfRule type="containsText" dxfId="2788" priority="3087" operator="containsText" text="Not yet due">
      <formula>NOT(ISERROR(SEARCH("Not yet due",G69)))</formula>
    </cfRule>
    <cfRule type="containsText" dxfId="2787" priority="3088" operator="containsText" text="Completed Behind Schedule">
      <formula>NOT(ISERROR(SEARCH("Completed Behind Schedule",G69)))</formula>
    </cfRule>
    <cfRule type="containsText" dxfId="2786" priority="3089" operator="containsText" text="Off Target">
      <formula>NOT(ISERROR(SEARCH("Off Target",G69)))</formula>
    </cfRule>
    <cfRule type="containsText" dxfId="2785" priority="3090" operator="containsText" text="In Danger of Falling Behind Target">
      <formula>NOT(ISERROR(SEARCH("In Danger of Falling Behind Target",G69)))</formula>
    </cfRule>
    <cfRule type="containsText" dxfId="2784" priority="3091" operator="containsText" text="On Track to be Achieved">
      <formula>NOT(ISERROR(SEARCH("On Track to be Achieved",G69)))</formula>
    </cfRule>
    <cfRule type="containsText" dxfId="2783" priority="3092" operator="containsText" text="Fully Achieved">
      <formula>NOT(ISERROR(SEARCH("Fully Achieved",G69)))</formula>
    </cfRule>
    <cfRule type="containsText" dxfId="2782" priority="3093" operator="containsText" text="Fully Achieved">
      <formula>NOT(ISERROR(SEARCH("Fully Achieved",G69)))</formula>
    </cfRule>
    <cfRule type="containsText" dxfId="2781" priority="3094" operator="containsText" text="Fully Achieved">
      <formula>NOT(ISERROR(SEARCH("Fully Achieved",G69)))</formula>
    </cfRule>
    <cfRule type="containsText" dxfId="2780" priority="3095" operator="containsText" text="Deferred">
      <formula>NOT(ISERROR(SEARCH("Deferred",G69)))</formula>
    </cfRule>
    <cfRule type="containsText" dxfId="2779" priority="3096" operator="containsText" text="Deleted">
      <formula>NOT(ISERROR(SEARCH("Deleted",G69)))</formula>
    </cfRule>
    <cfRule type="containsText" dxfId="2778" priority="3097" operator="containsText" text="In Danger of Falling Behind Target">
      <formula>NOT(ISERROR(SEARCH("In Danger of Falling Behind Target",G69)))</formula>
    </cfRule>
    <cfRule type="containsText" dxfId="2777" priority="3098" operator="containsText" text="Not yet due">
      <formula>NOT(ISERROR(SEARCH("Not yet due",G69)))</formula>
    </cfRule>
    <cfRule type="containsText" dxfId="2776" priority="3099" operator="containsText" text="Update not Provided">
      <formula>NOT(ISERROR(SEARCH("Update not Provided",G69)))</formula>
    </cfRule>
  </conditionalFormatting>
  <conditionalFormatting sqref="G69">
    <cfRule type="containsText" dxfId="2775" priority="3028" operator="containsText" text="On track to be achieved">
      <formula>NOT(ISERROR(SEARCH("On track to be achieved",G69)))</formula>
    </cfRule>
    <cfRule type="containsText" dxfId="2774" priority="3029" operator="containsText" text="Deferred">
      <formula>NOT(ISERROR(SEARCH("Deferred",G69)))</formula>
    </cfRule>
    <cfRule type="containsText" dxfId="2773" priority="3030" operator="containsText" text="Deleted">
      <formula>NOT(ISERROR(SEARCH("Deleted",G69)))</formula>
    </cfRule>
    <cfRule type="containsText" dxfId="2772" priority="3031" operator="containsText" text="In Danger of Falling Behind Target">
      <formula>NOT(ISERROR(SEARCH("In Danger of Falling Behind Target",G69)))</formula>
    </cfRule>
    <cfRule type="containsText" dxfId="2771" priority="3032" operator="containsText" text="Not yet due">
      <formula>NOT(ISERROR(SEARCH("Not yet due",G69)))</formula>
    </cfRule>
    <cfRule type="containsText" dxfId="2770" priority="3033" operator="containsText" text="Update not Provided">
      <formula>NOT(ISERROR(SEARCH("Update not Provided",G69)))</formula>
    </cfRule>
    <cfRule type="containsText" dxfId="2769" priority="3034" operator="containsText" text="Not yet due">
      <formula>NOT(ISERROR(SEARCH("Not yet due",G69)))</formula>
    </cfRule>
    <cfRule type="containsText" dxfId="2768" priority="3035" operator="containsText" text="Completed Behind Schedule">
      <formula>NOT(ISERROR(SEARCH("Completed Behind Schedule",G69)))</formula>
    </cfRule>
    <cfRule type="containsText" dxfId="2767" priority="3036" operator="containsText" text="Off Target">
      <formula>NOT(ISERROR(SEARCH("Off Target",G69)))</formula>
    </cfRule>
    <cfRule type="containsText" dxfId="2766" priority="3037" operator="containsText" text="On Track to be Achieved">
      <formula>NOT(ISERROR(SEARCH("On Track to be Achieved",G69)))</formula>
    </cfRule>
    <cfRule type="containsText" dxfId="2765" priority="3038" operator="containsText" text="Fully Achieved">
      <formula>NOT(ISERROR(SEARCH("Fully Achieved",G69)))</formula>
    </cfRule>
    <cfRule type="containsText" dxfId="2764" priority="3039" operator="containsText" text="Not yet due">
      <formula>NOT(ISERROR(SEARCH("Not yet due",G69)))</formula>
    </cfRule>
    <cfRule type="containsText" dxfId="2763" priority="3040" operator="containsText" text="Not Yet Due">
      <formula>NOT(ISERROR(SEARCH("Not Yet Due",G69)))</formula>
    </cfRule>
    <cfRule type="containsText" dxfId="2762" priority="3041" operator="containsText" text="Deferred">
      <formula>NOT(ISERROR(SEARCH("Deferred",G69)))</formula>
    </cfRule>
    <cfRule type="containsText" dxfId="2761" priority="3042" operator="containsText" text="Deleted">
      <formula>NOT(ISERROR(SEARCH("Deleted",G69)))</formula>
    </cfRule>
    <cfRule type="containsText" dxfId="2760" priority="3043" operator="containsText" text="In Danger of Falling Behind Target">
      <formula>NOT(ISERROR(SEARCH("In Danger of Falling Behind Target",G69)))</formula>
    </cfRule>
    <cfRule type="containsText" dxfId="2759" priority="3044" operator="containsText" text="Not yet due">
      <formula>NOT(ISERROR(SEARCH("Not yet due",G69)))</formula>
    </cfRule>
    <cfRule type="containsText" dxfId="2758" priority="3045" operator="containsText" text="Completed Behind Schedule">
      <formula>NOT(ISERROR(SEARCH("Completed Behind Schedule",G69)))</formula>
    </cfRule>
    <cfRule type="containsText" dxfId="2757" priority="3046" operator="containsText" text="Off Target">
      <formula>NOT(ISERROR(SEARCH("Off Target",G69)))</formula>
    </cfRule>
    <cfRule type="containsText" dxfId="2756" priority="3047" operator="containsText" text="In Danger of Falling Behind Target">
      <formula>NOT(ISERROR(SEARCH("In Danger of Falling Behind Target",G69)))</formula>
    </cfRule>
    <cfRule type="containsText" dxfId="2755" priority="3048" operator="containsText" text="On Track to be Achieved">
      <formula>NOT(ISERROR(SEARCH("On Track to be Achieved",G69)))</formula>
    </cfRule>
    <cfRule type="containsText" dxfId="2754" priority="3049" operator="containsText" text="Fully Achieved">
      <formula>NOT(ISERROR(SEARCH("Fully Achieved",G69)))</formula>
    </cfRule>
    <cfRule type="containsText" dxfId="2753" priority="3050" operator="containsText" text="Update not Provided">
      <formula>NOT(ISERROR(SEARCH("Update not Provided",G69)))</formula>
    </cfRule>
    <cfRule type="containsText" dxfId="2752" priority="3051" operator="containsText" text="Not yet due">
      <formula>NOT(ISERROR(SEARCH("Not yet due",G69)))</formula>
    </cfRule>
    <cfRule type="containsText" dxfId="2751" priority="3052" operator="containsText" text="Completed Behind Schedule">
      <formula>NOT(ISERROR(SEARCH("Completed Behind Schedule",G69)))</formula>
    </cfRule>
    <cfRule type="containsText" dxfId="2750" priority="3053" operator="containsText" text="Off Target">
      <formula>NOT(ISERROR(SEARCH("Off Target",G69)))</formula>
    </cfRule>
    <cfRule type="containsText" dxfId="2749" priority="3054" operator="containsText" text="In Danger of Falling Behind Target">
      <formula>NOT(ISERROR(SEARCH("In Danger of Falling Behind Target",G69)))</formula>
    </cfRule>
    <cfRule type="containsText" dxfId="2748" priority="3055" operator="containsText" text="On Track to be Achieved">
      <formula>NOT(ISERROR(SEARCH("On Track to be Achieved",G69)))</formula>
    </cfRule>
    <cfRule type="containsText" dxfId="2747" priority="3056" operator="containsText" text="Fully Achieved">
      <formula>NOT(ISERROR(SEARCH("Fully Achieved",G69)))</formula>
    </cfRule>
    <cfRule type="containsText" dxfId="2746" priority="3057" operator="containsText" text="Fully Achieved">
      <formula>NOT(ISERROR(SEARCH("Fully Achieved",G69)))</formula>
    </cfRule>
    <cfRule type="containsText" dxfId="2745" priority="3058" operator="containsText" text="Fully Achieved">
      <formula>NOT(ISERROR(SEARCH("Fully Achieved",G69)))</formula>
    </cfRule>
    <cfRule type="containsText" dxfId="2744" priority="3059" operator="containsText" text="Deferred">
      <formula>NOT(ISERROR(SEARCH("Deferred",G69)))</formula>
    </cfRule>
    <cfRule type="containsText" dxfId="2743" priority="3060" operator="containsText" text="Deleted">
      <formula>NOT(ISERROR(SEARCH("Deleted",G69)))</formula>
    </cfRule>
    <cfRule type="containsText" dxfId="2742" priority="3061" operator="containsText" text="In Danger of Falling Behind Target">
      <formula>NOT(ISERROR(SEARCH("In Danger of Falling Behind Target",G69)))</formula>
    </cfRule>
    <cfRule type="containsText" dxfId="2741" priority="3062" operator="containsText" text="Not yet due">
      <formula>NOT(ISERROR(SEARCH("Not yet due",G69)))</formula>
    </cfRule>
    <cfRule type="containsText" dxfId="2740" priority="3063" operator="containsText" text="Update not Provided">
      <formula>NOT(ISERROR(SEARCH("Update not Provided",G69)))</formula>
    </cfRule>
  </conditionalFormatting>
  <conditionalFormatting sqref="G70:G71">
    <cfRule type="containsText" dxfId="2739" priority="2992" operator="containsText" text="On track to be achieved">
      <formula>NOT(ISERROR(SEARCH("On track to be achieved",G70)))</formula>
    </cfRule>
    <cfRule type="containsText" dxfId="2738" priority="2993" operator="containsText" text="Deferred">
      <formula>NOT(ISERROR(SEARCH("Deferred",G70)))</formula>
    </cfRule>
    <cfRule type="containsText" dxfId="2737" priority="2994" operator="containsText" text="Deleted">
      <formula>NOT(ISERROR(SEARCH("Deleted",G70)))</formula>
    </cfRule>
    <cfRule type="containsText" dxfId="2736" priority="2995" operator="containsText" text="In Danger of Falling Behind Target">
      <formula>NOT(ISERROR(SEARCH("In Danger of Falling Behind Target",G70)))</formula>
    </cfRule>
    <cfRule type="containsText" dxfId="2735" priority="2996" operator="containsText" text="Not yet due">
      <formula>NOT(ISERROR(SEARCH("Not yet due",G70)))</formula>
    </cfRule>
    <cfRule type="containsText" dxfId="2734" priority="2997" operator="containsText" text="Update not Provided">
      <formula>NOT(ISERROR(SEARCH("Update not Provided",G70)))</formula>
    </cfRule>
    <cfRule type="containsText" dxfId="2733" priority="2998" operator="containsText" text="Not yet due">
      <formula>NOT(ISERROR(SEARCH("Not yet due",G70)))</formula>
    </cfRule>
    <cfRule type="containsText" dxfId="2732" priority="2999" operator="containsText" text="Completed Behind Schedule">
      <formula>NOT(ISERROR(SEARCH("Completed Behind Schedule",G70)))</formula>
    </cfRule>
    <cfRule type="containsText" dxfId="2731" priority="3000" operator="containsText" text="Off Target">
      <formula>NOT(ISERROR(SEARCH("Off Target",G70)))</formula>
    </cfRule>
    <cfRule type="containsText" dxfId="2730" priority="3001" operator="containsText" text="On Track to be Achieved">
      <formula>NOT(ISERROR(SEARCH("On Track to be Achieved",G70)))</formula>
    </cfRule>
    <cfRule type="containsText" dxfId="2729" priority="3002" operator="containsText" text="Fully Achieved">
      <formula>NOT(ISERROR(SEARCH("Fully Achieved",G70)))</formula>
    </cfRule>
    <cfRule type="containsText" dxfId="2728" priority="3003" operator="containsText" text="Not yet due">
      <formula>NOT(ISERROR(SEARCH("Not yet due",G70)))</formula>
    </cfRule>
    <cfRule type="containsText" dxfId="2727" priority="3004" operator="containsText" text="Not Yet Due">
      <formula>NOT(ISERROR(SEARCH("Not Yet Due",G70)))</formula>
    </cfRule>
    <cfRule type="containsText" dxfId="2726" priority="3005" operator="containsText" text="Deferred">
      <formula>NOT(ISERROR(SEARCH("Deferred",G70)))</formula>
    </cfRule>
    <cfRule type="containsText" dxfId="2725" priority="3006" operator="containsText" text="Deleted">
      <formula>NOT(ISERROR(SEARCH("Deleted",G70)))</formula>
    </cfRule>
    <cfRule type="containsText" dxfId="2724" priority="3007" operator="containsText" text="In Danger of Falling Behind Target">
      <formula>NOT(ISERROR(SEARCH("In Danger of Falling Behind Target",G70)))</formula>
    </cfRule>
    <cfRule type="containsText" dxfId="2723" priority="3008" operator="containsText" text="Not yet due">
      <formula>NOT(ISERROR(SEARCH("Not yet due",G70)))</formula>
    </cfRule>
    <cfRule type="containsText" dxfId="2722" priority="3009" operator="containsText" text="Completed Behind Schedule">
      <formula>NOT(ISERROR(SEARCH("Completed Behind Schedule",G70)))</formula>
    </cfRule>
    <cfRule type="containsText" dxfId="2721" priority="3010" operator="containsText" text="Off Target">
      <formula>NOT(ISERROR(SEARCH("Off Target",G70)))</formula>
    </cfRule>
    <cfRule type="containsText" dxfId="2720" priority="3011" operator="containsText" text="In Danger of Falling Behind Target">
      <formula>NOT(ISERROR(SEARCH("In Danger of Falling Behind Target",G70)))</formula>
    </cfRule>
    <cfRule type="containsText" dxfId="2719" priority="3012" operator="containsText" text="On Track to be Achieved">
      <formula>NOT(ISERROR(SEARCH("On Track to be Achieved",G70)))</formula>
    </cfRule>
    <cfRule type="containsText" dxfId="2718" priority="3013" operator="containsText" text="Fully Achieved">
      <formula>NOT(ISERROR(SEARCH("Fully Achieved",G70)))</formula>
    </cfRule>
    <cfRule type="containsText" dxfId="2717" priority="3014" operator="containsText" text="Update not Provided">
      <formula>NOT(ISERROR(SEARCH("Update not Provided",G70)))</formula>
    </cfRule>
    <cfRule type="containsText" dxfId="2716" priority="3015" operator="containsText" text="Not yet due">
      <formula>NOT(ISERROR(SEARCH("Not yet due",G70)))</formula>
    </cfRule>
    <cfRule type="containsText" dxfId="2715" priority="3016" operator="containsText" text="Completed Behind Schedule">
      <formula>NOT(ISERROR(SEARCH("Completed Behind Schedule",G70)))</formula>
    </cfRule>
    <cfRule type="containsText" dxfId="2714" priority="3017" operator="containsText" text="Off Target">
      <formula>NOT(ISERROR(SEARCH("Off Target",G70)))</formula>
    </cfRule>
    <cfRule type="containsText" dxfId="2713" priority="3018" operator="containsText" text="In Danger of Falling Behind Target">
      <formula>NOT(ISERROR(SEARCH("In Danger of Falling Behind Target",G70)))</formula>
    </cfRule>
    <cfRule type="containsText" dxfId="2712" priority="3019" operator="containsText" text="On Track to be Achieved">
      <formula>NOT(ISERROR(SEARCH("On Track to be Achieved",G70)))</formula>
    </cfRule>
    <cfRule type="containsText" dxfId="2711" priority="3020" operator="containsText" text="Fully Achieved">
      <formula>NOT(ISERROR(SEARCH("Fully Achieved",G70)))</formula>
    </cfRule>
    <cfRule type="containsText" dxfId="2710" priority="3021" operator="containsText" text="Fully Achieved">
      <formula>NOT(ISERROR(SEARCH("Fully Achieved",G70)))</formula>
    </cfRule>
    <cfRule type="containsText" dxfId="2709" priority="3022" operator="containsText" text="Fully Achieved">
      <formula>NOT(ISERROR(SEARCH("Fully Achieved",G70)))</formula>
    </cfRule>
    <cfRule type="containsText" dxfId="2708" priority="3023" operator="containsText" text="Deferred">
      <formula>NOT(ISERROR(SEARCH("Deferred",G70)))</formula>
    </cfRule>
    <cfRule type="containsText" dxfId="2707" priority="3024" operator="containsText" text="Deleted">
      <formula>NOT(ISERROR(SEARCH("Deleted",G70)))</formula>
    </cfRule>
    <cfRule type="containsText" dxfId="2706" priority="3025" operator="containsText" text="In Danger of Falling Behind Target">
      <formula>NOT(ISERROR(SEARCH("In Danger of Falling Behind Target",G70)))</formula>
    </cfRule>
    <cfRule type="containsText" dxfId="2705" priority="3026" operator="containsText" text="Not yet due">
      <formula>NOT(ISERROR(SEARCH("Not yet due",G70)))</formula>
    </cfRule>
    <cfRule type="containsText" dxfId="2704" priority="3027" operator="containsText" text="Update not Provided">
      <formula>NOT(ISERROR(SEARCH("Update not Provided",G70)))</formula>
    </cfRule>
  </conditionalFormatting>
  <conditionalFormatting sqref="G70:G71">
    <cfRule type="containsText" dxfId="2703" priority="2956" operator="containsText" text="On track to be achieved">
      <formula>NOT(ISERROR(SEARCH("On track to be achieved",G70)))</formula>
    </cfRule>
    <cfRule type="containsText" dxfId="2702" priority="2957" operator="containsText" text="Deferred">
      <formula>NOT(ISERROR(SEARCH("Deferred",G70)))</formula>
    </cfRule>
    <cfRule type="containsText" dxfId="2701" priority="2958" operator="containsText" text="Deleted">
      <formula>NOT(ISERROR(SEARCH("Deleted",G70)))</formula>
    </cfRule>
    <cfRule type="containsText" dxfId="2700" priority="2959" operator="containsText" text="In Danger of Falling Behind Target">
      <formula>NOT(ISERROR(SEARCH("In Danger of Falling Behind Target",G70)))</formula>
    </cfRule>
    <cfRule type="containsText" dxfId="2699" priority="2960" operator="containsText" text="Not yet due">
      <formula>NOT(ISERROR(SEARCH("Not yet due",G70)))</formula>
    </cfRule>
    <cfRule type="containsText" dxfId="2698" priority="2961" operator="containsText" text="Update not Provided">
      <formula>NOT(ISERROR(SEARCH("Update not Provided",G70)))</formula>
    </cfRule>
    <cfRule type="containsText" dxfId="2697" priority="2962" operator="containsText" text="Not yet due">
      <formula>NOT(ISERROR(SEARCH("Not yet due",G70)))</formula>
    </cfRule>
    <cfRule type="containsText" dxfId="2696" priority="2963" operator="containsText" text="Completed Behind Schedule">
      <formula>NOT(ISERROR(SEARCH("Completed Behind Schedule",G70)))</formula>
    </cfRule>
    <cfRule type="containsText" dxfId="2695" priority="2964" operator="containsText" text="Off Target">
      <formula>NOT(ISERROR(SEARCH("Off Target",G70)))</formula>
    </cfRule>
    <cfRule type="containsText" dxfId="2694" priority="2965" operator="containsText" text="On Track to be Achieved">
      <formula>NOT(ISERROR(SEARCH("On Track to be Achieved",G70)))</formula>
    </cfRule>
    <cfRule type="containsText" dxfId="2693" priority="2966" operator="containsText" text="Fully Achieved">
      <formula>NOT(ISERROR(SEARCH("Fully Achieved",G70)))</formula>
    </cfRule>
    <cfRule type="containsText" dxfId="2692" priority="2967" operator="containsText" text="Not yet due">
      <formula>NOT(ISERROR(SEARCH("Not yet due",G70)))</formula>
    </cfRule>
    <cfRule type="containsText" dxfId="2691" priority="2968" operator="containsText" text="Not Yet Due">
      <formula>NOT(ISERROR(SEARCH("Not Yet Due",G70)))</formula>
    </cfRule>
    <cfRule type="containsText" dxfId="2690" priority="2969" operator="containsText" text="Deferred">
      <formula>NOT(ISERROR(SEARCH("Deferred",G70)))</formula>
    </cfRule>
    <cfRule type="containsText" dxfId="2689" priority="2970" operator="containsText" text="Deleted">
      <formula>NOT(ISERROR(SEARCH("Deleted",G70)))</formula>
    </cfRule>
    <cfRule type="containsText" dxfId="2688" priority="2971" operator="containsText" text="In Danger of Falling Behind Target">
      <formula>NOT(ISERROR(SEARCH("In Danger of Falling Behind Target",G70)))</formula>
    </cfRule>
    <cfRule type="containsText" dxfId="2687" priority="2972" operator="containsText" text="Not yet due">
      <formula>NOT(ISERROR(SEARCH("Not yet due",G70)))</formula>
    </cfRule>
    <cfRule type="containsText" dxfId="2686" priority="2973" operator="containsText" text="Completed Behind Schedule">
      <formula>NOT(ISERROR(SEARCH("Completed Behind Schedule",G70)))</formula>
    </cfRule>
    <cfRule type="containsText" dxfId="2685" priority="2974" operator="containsText" text="Off Target">
      <formula>NOT(ISERROR(SEARCH("Off Target",G70)))</formula>
    </cfRule>
    <cfRule type="containsText" dxfId="2684" priority="2975" operator="containsText" text="In Danger of Falling Behind Target">
      <formula>NOT(ISERROR(SEARCH("In Danger of Falling Behind Target",G70)))</formula>
    </cfRule>
    <cfRule type="containsText" dxfId="2683" priority="2976" operator="containsText" text="On Track to be Achieved">
      <formula>NOT(ISERROR(SEARCH("On Track to be Achieved",G70)))</formula>
    </cfRule>
    <cfRule type="containsText" dxfId="2682" priority="2977" operator="containsText" text="Fully Achieved">
      <formula>NOT(ISERROR(SEARCH("Fully Achieved",G70)))</formula>
    </cfRule>
    <cfRule type="containsText" dxfId="2681" priority="2978" operator="containsText" text="Update not Provided">
      <formula>NOT(ISERROR(SEARCH("Update not Provided",G70)))</formula>
    </cfRule>
    <cfRule type="containsText" dxfId="2680" priority="2979" operator="containsText" text="Not yet due">
      <formula>NOT(ISERROR(SEARCH("Not yet due",G70)))</formula>
    </cfRule>
    <cfRule type="containsText" dxfId="2679" priority="2980" operator="containsText" text="Completed Behind Schedule">
      <formula>NOT(ISERROR(SEARCH("Completed Behind Schedule",G70)))</formula>
    </cfRule>
    <cfRule type="containsText" dxfId="2678" priority="2981" operator="containsText" text="Off Target">
      <formula>NOT(ISERROR(SEARCH("Off Target",G70)))</formula>
    </cfRule>
    <cfRule type="containsText" dxfId="2677" priority="2982" operator="containsText" text="In Danger of Falling Behind Target">
      <formula>NOT(ISERROR(SEARCH("In Danger of Falling Behind Target",G70)))</formula>
    </cfRule>
    <cfRule type="containsText" dxfId="2676" priority="2983" operator="containsText" text="On Track to be Achieved">
      <formula>NOT(ISERROR(SEARCH("On Track to be Achieved",G70)))</formula>
    </cfRule>
    <cfRule type="containsText" dxfId="2675" priority="2984" operator="containsText" text="Fully Achieved">
      <formula>NOT(ISERROR(SEARCH("Fully Achieved",G70)))</formula>
    </cfRule>
    <cfRule type="containsText" dxfId="2674" priority="2985" operator="containsText" text="Fully Achieved">
      <formula>NOT(ISERROR(SEARCH("Fully Achieved",G70)))</formula>
    </cfRule>
    <cfRule type="containsText" dxfId="2673" priority="2986" operator="containsText" text="Fully Achieved">
      <formula>NOT(ISERROR(SEARCH("Fully Achieved",G70)))</formula>
    </cfRule>
    <cfRule type="containsText" dxfId="2672" priority="2987" operator="containsText" text="Deferred">
      <formula>NOT(ISERROR(SEARCH("Deferred",G70)))</formula>
    </cfRule>
    <cfRule type="containsText" dxfId="2671" priority="2988" operator="containsText" text="Deleted">
      <formula>NOT(ISERROR(SEARCH("Deleted",G70)))</formula>
    </cfRule>
    <cfRule type="containsText" dxfId="2670" priority="2989" operator="containsText" text="In Danger of Falling Behind Target">
      <formula>NOT(ISERROR(SEARCH("In Danger of Falling Behind Target",G70)))</formula>
    </cfRule>
    <cfRule type="containsText" dxfId="2669" priority="2990" operator="containsText" text="Not yet due">
      <formula>NOT(ISERROR(SEARCH("Not yet due",G70)))</formula>
    </cfRule>
    <cfRule type="containsText" dxfId="2668" priority="2991" operator="containsText" text="Update not Provided">
      <formula>NOT(ISERROR(SEARCH("Update not Provided",G70)))</formula>
    </cfRule>
  </conditionalFormatting>
  <conditionalFormatting sqref="G70:G71">
    <cfRule type="containsText" dxfId="2667" priority="2920" operator="containsText" text="On track to be achieved">
      <formula>NOT(ISERROR(SEARCH("On track to be achieved",G70)))</formula>
    </cfRule>
    <cfRule type="containsText" dxfId="2666" priority="2921" operator="containsText" text="Deferred">
      <formula>NOT(ISERROR(SEARCH("Deferred",G70)))</formula>
    </cfRule>
    <cfRule type="containsText" dxfId="2665" priority="2922" operator="containsText" text="Deleted">
      <formula>NOT(ISERROR(SEARCH("Deleted",G70)))</formula>
    </cfRule>
    <cfRule type="containsText" dxfId="2664" priority="2923" operator="containsText" text="In Danger of Falling Behind Target">
      <formula>NOT(ISERROR(SEARCH("In Danger of Falling Behind Target",G70)))</formula>
    </cfRule>
    <cfRule type="containsText" dxfId="2663" priority="2924" operator="containsText" text="Not yet due">
      <formula>NOT(ISERROR(SEARCH("Not yet due",G70)))</formula>
    </cfRule>
    <cfRule type="containsText" dxfId="2662" priority="2925" operator="containsText" text="Update not Provided">
      <formula>NOT(ISERROR(SEARCH("Update not Provided",G70)))</formula>
    </cfRule>
    <cfRule type="containsText" dxfId="2661" priority="2926" operator="containsText" text="Not yet due">
      <formula>NOT(ISERROR(SEARCH("Not yet due",G70)))</formula>
    </cfRule>
    <cfRule type="containsText" dxfId="2660" priority="2927" operator="containsText" text="Completed Behind Schedule">
      <formula>NOT(ISERROR(SEARCH("Completed Behind Schedule",G70)))</formula>
    </cfRule>
    <cfRule type="containsText" dxfId="2659" priority="2928" operator="containsText" text="Off Target">
      <formula>NOT(ISERROR(SEARCH("Off Target",G70)))</formula>
    </cfRule>
    <cfRule type="containsText" dxfId="2658" priority="2929" operator="containsText" text="On Track to be Achieved">
      <formula>NOT(ISERROR(SEARCH("On Track to be Achieved",G70)))</formula>
    </cfRule>
    <cfRule type="containsText" dxfId="2657" priority="2930" operator="containsText" text="Fully Achieved">
      <formula>NOT(ISERROR(SEARCH("Fully Achieved",G70)))</formula>
    </cfRule>
    <cfRule type="containsText" dxfId="2656" priority="2931" operator="containsText" text="Not yet due">
      <formula>NOT(ISERROR(SEARCH("Not yet due",G70)))</formula>
    </cfRule>
    <cfRule type="containsText" dxfId="2655" priority="2932" operator="containsText" text="Not Yet Due">
      <formula>NOT(ISERROR(SEARCH("Not Yet Due",G70)))</formula>
    </cfRule>
    <cfRule type="containsText" dxfId="2654" priority="2933" operator="containsText" text="Deferred">
      <formula>NOT(ISERROR(SEARCH("Deferred",G70)))</formula>
    </cfRule>
    <cfRule type="containsText" dxfId="2653" priority="2934" operator="containsText" text="Deleted">
      <formula>NOT(ISERROR(SEARCH("Deleted",G70)))</formula>
    </cfRule>
    <cfRule type="containsText" dxfId="2652" priority="2935" operator="containsText" text="In Danger of Falling Behind Target">
      <formula>NOT(ISERROR(SEARCH("In Danger of Falling Behind Target",G70)))</formula>
    </cfRule>
    <cfRule type="containsText" dxfId="2651" priority="2936" operator="containsText" text="Not yet due">
      <formula>NOT(ISERROR(SEARCH("Not yet due",G70)))</formula>
    </cfRule>
    <cfRule type="containsText" dxfId="2650" priority="2937" operator="containsText" text="Completed Behind Schedule">
      <formula>NOT(ISERROR(SEARCH("Completed Behind Schedule",G70)))</formula>
    </cfRule>
    <cfRule type="containsText" dxfId="2649" priority="2938" operator="containsText" text="Off Target">
      <formula>NOT(ISERROR(SEARCH("Off Target",G70)))</formula>
    </cfRule>
    <cfRule type="containsText" dxfId="2648" priority="2939" operator="containsText" text="In Danger of Falling Behind Target">
      <formula>NOT(ISERROR(SEARCH("In Danger of Falling Behind Target",G70)))</formula>
    </cfRule>
    <cfRule type="containsText" dxfId="2647" priority="2940" operator="containsText" text="On Track to be Achieved">
      <formula>NOT(ISERROR(SEARCH("On Track to be Achieved",G70)))</formula>
    </cfRule>
    <cfRule type="containsText" dxfId="2646" priority="2941" operator="containsText" text="Fully Achieved">
      <formula>NOT(ISERROR(SEARCH("Fully Achieved",G70)))</formula>
    </cfRule>
    <cfRule type="containsText" dxfId="2645" priority="2942" operator="containsText" text="Update not Provided">
      <formula>NOT(ISERROR(SEARCH("Update not Provided",G70)))</formula>
    </cfRule>
    <cfRule type="containsText" dxfId="2644" priority="2943" operator="containsText" text="Not yet due">
      <formula>NOT(ISERROR(SEARCH("Not yet due",G70)))</formula>
    </cfRule>
    <cfRule type="containsText" dxfId="2643" priority="2944" operator="containsText" text="Completed Behind Schedule">
      <formula>NOT(ISERROR(SEARCH("Completed Behind Schedule",G70)))</formula>
    </cfRule>
    <cfRule type="containsText" dxfId="2642" priority="2945" operator="containsText" text="Off Target">
      <formula>NOT(ISERROR(SEARCH("Off Target",G70)))</formula>
    </cfRule>
    <cfRule type="containsText" dxfId="2641" priority="2946" operator="containsText" text="In Danger of Falling Behind Target">
      <formula>NOT(ISERROR(SEARCH("In Danger of Falling Behind Target",G70)))</formula>
    </cfRule>
    <cfRule type="containsText" dxfId="2640" priority="2947" operator="containsText" text="On Track to be Achieved">
      <formula>NOT(ISERROR(SEARCH("On Track to be Achieved",G70)))</formula>
    </cfRule>
    <cfRule type="containsText" dxfId="2639" priority="2948" operator="containsText" text="Fully Achieved">
      <formula>NOT(ISERROR(SEARCH("Fully Achieved",G70)))</formula>
    </cfRule>
    <cfRule type="containsText" dxfId="2638" priority="2949" operator="containsText" text="Fully Achieved">
      <formula>NOT(ISERROR(SEARCH("Fully Achieved",G70)))</formula>
    </cfRule>
    <cfRule type="containsText" dxfId="2637" priority="2950" operator="containsText" text="Fully Achieved">
      <formula>NOT(ISERROR(SEARCH("Fully Achieved",G70)))</formula>
    </cfRule>
    <cfRule type="containsText" dxfId="2636" priority="2951" operator="containsText" text="Deferred">
      <formula>NOT(ISERROR(SEARCH("Deferred",G70)))</formula>
    </cfRule>
    <cfRule type="containsText" dxfId="2635" priority="2952" operator="containsText" text="Deleted">
      <formula>NOT(ISERROR(SEARCH("Deleted",G70)))</formula>
    </cfRule>
    <cfRule type="containsText" dxfId="2634" priority="2953" operator="containsText" text="In Danger of Falling Behind Target">
      <formula>NOT(ISERROR(SEARCH("In Danger of Falling Behind Target",G70)))</formula>
    </cfRule>
    <cfRule type="containsText" dxfId="2633" priority="2954" operator="containsText" text="Not yet due">
      <formula>NOT(ISERROR(SEARCH("Not yet due",G70)))</formula>
    </cfRule>
    <cfRule type="containsText" dxfId="2632" priority="2955" operator="containsText" text="Update not Provided">
      <formula>NOT(ISERROR(SEARCH("Update not Provided",G70)))</formula>
    </cfRule>
  </conditionalFormatting>
  <conditionalFormatting sqref="G72:G73">
    <cfRule type="containsText" dxfId="2631" priority="2884" operator="containsText" text="On track to be achieved">
      <formula>NOT(ISERROR(SEARCH("On track to be achieved",G72)))</formula>
    </cfRule>
    <cfRule type="containsText" dxfId="2630" priority="2885" operator="containsText" text="Deferred">
      <formula>NOT(ISERROR(SEARCH("Deferred",G72)))</formula>
    </cfRule>
    <cfRule type="containsText" dxfId="2629" priority="2886" operator="containsText" text="Deleted">
      <formula>NOT(ISERROR(SEARCH("Deleted",G72)))</formula>
    </cfRule>
    <cfRule type="containsText" dxfId="2628" priority="2887" operator="containsText" text="In Danger of Falling Behind Target">
      <formula>NOT(ISERROR(SEARCH("In Danger of Falling Behind Target",G72)))</formula>
    </cfRule>
    <cfRule type="containsText" dxfId="2627" priority="2888" operator="containsText" text="Not yet due">
      <formula>NOT(ISERROR(SEARCH("Not yet due",G72)))</formula>
    </cfRule>
    <cfRule type="containsText" dxfId="2626" priority="2889" operator="containsText" text="Update not Provided">
      <formula>NOT(ISERROR(SEARCH("Update not Provided",G72)))</formula>
    </cfRule>
    <cfRule type="containsText" dxfId="2625" priority="2890" operator="containsText" text="Not yet due">
      <formula>NOT(ISERROR(SEARCH("Not yet due",G72)))</formula>
    </cfRule>
    <cfRule type="containsText" dxfId="2624" priority="2891" operator="containsText" text="Completed Behind Schedule">
      <formula>NOT(ISERROR(SEARCH("Completed Behind Schedule",G72)))</formula>
    </cfRule>
    <cfRule type="containsText" dxfId="2623" priority="2892" operator="containsText" text="Off Target">
      <formula>NOT(ISERROR(SEARCH("Off Target",G72)))</formula>
    </cfRule>
    <cfRule type="containsText" dxfId="2622" priority="2893" operator="containsText" text="On Track to be Achieved">
      <formula>NOT(ISERROR(SEARCH("On Track to be Achieved",G72)))</formula>
    </cfRule>
    <cfRule type="containsText" dxfId="2621" priority="2894" operator="containsText" text="Fully Achieved">
      <formula>NOT(ISERROR(SEARCH("Fully Achieved",G72)))</formula>
    </cfRule>
    <cfRule type="containsText" dxfId="2620" priority="2895" operator="containsText" text="Not yet due">
      <formula>NOT(ISERROR(SEARCH("Not yet due",G72)))</formula>
    </cfRule>
    <cfRule type="containsText" dxfId="2619" priority="2896" operator="containsText" text="Not Yet Due">
      <formula>NOT(ISERROR(SEARCH("Not Yet Due",G72)))</formula>
    </cfRule>
    <cfRule type="containsText" dxfId="2618" priority="2897" operator="containsText" text="Deferred">
      <formula>NOT(ISERROR(SEARCH("Deferred",G72)))</formula>
    </cfRule>
    <cfRule type="containsText" dxfId="2617" priority="2898" operator="containsText" text="Deleted">
      <formula>NOT(ISERROR(SEARCH("Deleted",G72)))</formula>
    </cfRule>
    <cfRule type="containsText" dxfId="2616" priority="2899" operator="containsText" text="In Danger of Falling Behind Target">
      <formula>NOT(ISERROR(SEARCH("In Danger of Falling Behind Target",G72)))</formula>
    </cfRule>
    <cfRule type="containsText" dxfId="2615" priority="2900" operator="containsText" text="Not yet due">
      <formula>NOT(ISERROR(SEARCH("Not yet due",G72)))</formula>
    </cfRule>
    <cfRule type="containsText" dxfId="2614" priority="2901" operator="containsText" text="Completed Behind Schedule">
      <formula>NOT(ISERROR(SEARCH("Completed Behind Schedule",G72)))</formula>
    </cfRule>
    <cfRule type="containsText" dxfId="2613" priority="2902" operator="containsText" text="Off Target">
      <formula>NOT(ISERROR(SEARCH("Off Target",G72)))</formula>
    </cfRule>
    <cfRule type="containsText" dxfId="2612" priority="2903" operator="containsText" text="In Danger of Falling Behind Target">
      <formula>NOT(ISERROR(SEARCH("In Danger of Falling Behind Target",G72)))</formula>
    </cfRule>
    <cfRule type="containsText" dxfId="2611" priority="2904" operator="containsText" text="On Track to be Achieved">
      <formula>NOT(ISERROR(SEARCH("On Track to be Achieved",G72)))</formula>
    </cfRule>
    <cfRule type="containsText" dxfId="2610" priority="2905" operator="containsText" text="Fully Achieved">
      <formula>NOT(ISERROR(SEARCH("Fully Achieved",G72)))</formula>
    </cfRule>
    <cfRule type="containsText" dxfId="2609" priority="2906" operator="containsText" text="Update not Provided">
      <formula>NOT(ISERROR(SEARCH("Update not Provided",G72)))</formula>
    </cfRule>
    <cfRule type="containsText" dxfId="2608" priority="2907" operator="containsText" text="Not yet due">
      <formula>NOT(ISERROR(SEARCH("Not yet due",G72)))</formula>
    </cfRule>
    <cfRule type="containsText" dxfId="2607" priority="2908" operator="containsText" text="Completed Behind Schedule">
      <formula>NOT(ISERROR(SEARCH("Completed Behind Schedule",G72)))</formula>
    </cfRule>
    <cfRule type="containsText" dxfId="2606" priority="2909" operator="containsText" text="Off Target">
      <formula>NOT(ISERROR(SEARCH("Off Target",G72)))</formula>
    </cfRule>
    <cfRule type="containsText" dxfId="2605" priority="2910" operator="containsText" text="In Danger of Falling Behind Target">
      <formula>NOT(ISERROR(SEARCH("In Danger of Falling Behind Target",G72)))</formula>
    </cfRule>
    <cfRule type="containsText" dxfId="2604" priority="2911" operator="containsText" text="On Track to be Achieved">
      <formula>NOT(ISERROR(SEARCH("On Track to be Achieved",G72)))</formula>
    </cfRule>
    <cfRule type="containsText" dxfId="2603" priority="2912" operator="containsText" text="Fully Achieved">
      <formula>NOT(ISERROR(SEARCH("Fully Achieved",G72)))</formula>
    </cfRule>
    <cfRule type="containsText" dxfId="2602" priority="2913" operator="containsText" text="Fully Achieved">
      <formula>NOT(ISERROR(SEARCH("Fully Achieved",G72)))</formula>
    </cfRule>
    <cfRule type="containsText" dxfId="2601" priority="2914" operator="containsText" text="Fully Achieved">
      <formula>NOT(ISERROR(SEARCH("Fully Achieved",G72)))</formula>
    </cfRule>
    <cfRule type="containsText" dxfId="2600" priority="2915" operator="containsText" text="Deferred">
      <formula>NOT(ISERROR(SEARCH("Deferred",G72)))</formula>
    </cfRule>
    <cfRule type="containsText" dxfId="2599" priority="2916" operator="containsText" text="Deleted">
      <formula>NOT(ISERROR(SEARCH("Deleted",G72)))</formula>
    </cfRule>
    <cfRule type="containsText" dxfId="2598" priority="2917" operator="containsText" text="In Danger of Falling Behind Target">
      <formula>NOT(ISERROR(SEARCH("In Danger of Falling Behind Target",G72)))</formula>
    </cfRule>
    <cfRule type="containsText" dxfId="2597" priority="2918" operator="containsText" text="Not yet due">
      <formula>NOT(ISERROR(SEARCH("Not yet due",G72)))</formula>
    </cfRule>
    <cfRule type="containsText" dxfId="2596" priority="2919" operator="containsText" text="Update not Provided">
      <formula>NOT(ISERROR(SEARCH("Update not Provided",G72)))</formula>
    </cfRule>
  </conditionalFormatting>
  <conditionalFormatting sqref="G74">
    <cfRule type="containsText" dxfId="2595" priority="2848" operator="containsText" text="On track to be achieved">
      <formula>NOT(ISERROR(SEARCH("On track to be achieved",G74)))</formula>
    </cfRule>
    <cfRule type="containsText" dxfId="2594" priority="2849" operator="containsText" text="Deferred">
      <formula>NOT(ISERROR(SEARCH("Deferred",G74)))</formula>
    </cfRule>
    <cfRule type="containsText" dxfId="2593" priority="2850" operator="containsText" text="Deleted">
      <formula>NOT(ISERROR(SEARCH("Deleted",G74)))</formula>
    </cfRule>
    <cfRule type="containsText" dxfId="2592" priority="2851" operator="containsText" text="In Danger of Falling Behind Target">
      <formula>NOT(ISERROR(SEARCH("In Danger of Falling Behind Target",G74)))</formula>
    </cfRule>
    <cfRule type="containsText" dxfId="2591" priority="2852" operator="containsText" text="Not yet due">
      <formula>NOT(ISERROR(SEARCH("Not yet due",G74)))</formula>
    </cfRule>
    <cfRule type="containsText" dxfId="2590" priority="2853" operator="containsText" text="Update not Provided">
      <formula>NOT(ISERROR(SEARCH("Update not Provided",G74)))</formula>
    </cfRule>
    <cfRule type="containsText" dxfId="2589" priority="2854" operator="containsText" text="Not yet due">
      <formula>NOT(ISERROR(SEARCH("Not yet due",G74)))</formula>
    </cfRule>
    <cfRule type="containsText" dxfId="2588" priority="2855" operator="containsText" text="Completed Behind Schedule">
      <formula>NOT(ISERROR(SEARCH("Completed Behind Schedule",G74)))</formula>
    </cfRule>
    <cfRule type="containsText" dxfId="2587" priority="2856" operator="containsText" text="Off Target">
      <formula>NOT(ISERROR(SEARCH("Off Target",G74)))</formula>
    </cfRule>
    <cfRule type="containsText" dxfId="2586" priority="2857" operator="containsText" text="On Track to be Achieved">
      <formula>NOT(ISERROR(SEARCH("On Track to be Achieved",G74)))</formula>
    </cfRule>
    <cfRule type="containsText" dxfId="2585" priority="2858" operator="containsText" text="Fully Achieved">
      <formula>NOT(ISERROR(SEARCH("Fully Achieved",G74)))</formula>
    </cfRule>
    <cfRule type="containsText" dxfId="2584" priority="2859" operator="containsText" text="Not yet due">
      <formula>NOT(ISERROR(SEARCH("Not yet due",G74)))</formula>
    </cfRule>
    <cfRule type="containsText" dxfId="2583" priority="2860" operator="containsText" text="Not Yet Due">
      <formula>NOT(ISERROR(SEARCH("Not Yet Due",G74)))</formula>
    </cfRule>
    <cfRule type="containsText" dxfId="2582" priority="2861" operator="containsText" text="Deferred">
      <formula>NOT(ISERROR(SEARCH("Deferred",G74)))</formula>
    </cfRule>
    <cfRule type="containsText" dxfId="2581" priority="2862" operator="containsText" text="Deleted">
      <formula>NOT(ISERROR(SEARCH("Deleted",G74)))</formula>
    </cfRule>
    <cfRule type="containsText" dxfId="2580" priority="2863" operator="containsText" text="In Danger of Falling Behind Target">
      <formula>NOT(ISERROR(SEARCH("In Danger of Falling Behind Target",G74)))</formula>
    </cfRule>
    <cfRule type="containsText" dxfId="2579" priority="2864" operator="containsText" text="Not yet due">
      <formula>NOT(ISERROR(SEARCH("Not yet due",G74)))</formula>
    </cfRule>
    <cfRule type="containsText" dxfId="2578" priority="2865" operator="containsText" text="Completed Behind Schedule">
      <formula>NOT(ISERROR(SEARCH("Completed Behind Schedule",G74)))</formula>
    </cfRule>
    <cfRule type="containsText" dxfId="2577" priority="2866" operator="containsText" text="Off Target">
      <formula>NOT(ISERROR(SEARCH("Off Target",G74)))</formula>
    </cfRule>
    <cfRule type="containsText" dxfId="2576" priority="2867" operator="containsText" text="In Danger of Falling Behind Target">
      <formula>NOT(ISERROR(SEARCH("In Danger of Falling Behind Target",G74)))</formula>
    </cfRule>
    <cfRule type="containsText" dxfId="2575" priority="2868" operator="containsText" text="On Track to be Achieved">
      <formula>NOT(ISERROR(SEARCH("On Track to be Achieved",G74)))</formula>
    </cfRule>
    <cfRule type="containsText" dxfId="2574" priority="2869" operator="containsText" text="Fully Achieved">
      <formula>NOT(ISERROR(SEARCH("Fully Achieved",G74)))</formula>
    </cfRule>
    <cfRule type="containsText" dxfId="2573" priority="2870" operator="containsText" text="Update not Provided">
      <formula>NOT(ISERROR(SEARCH("Update not Provided",G74)))</formula>
    </cfRule>
    <cfRule type="containsText" dxfId="2572" priority="2871" operator="containsText" text="Not yet due">
      <formula>NOT(ISERROR(SEARCH("Not yet due",G74)))</formula>
    </cfRule>
    <cfRule type="containsText" dxfId="2571" priority="2872" operator="containsText" text="Completed Behind Schedule">
      <formula>NOT(ISERROR(SEARCH("Completed Behind Schedule",G74)))</formula>
    </cfRule>
    <cfRule type="containsText" dxfId="2570" priority="2873" operator="containsText" text="Off Target">
      <formula>NOT(ISERROR(SEARCH("Off Target",G74)))</formula>
    </cfRule>
    <cfRule type="containsText" dxfId="2569" priority="2874" operator="containsText" text="In Danger of Falling Behind Target">
      <formula>NOT(ISERROR(SEARCH("In Danger of Falling Behind Target",G74)))</formula>
    </cfRule>
    <cfRule type="containsText" dxfId="2568" priority="2875" operator="containsText" text="On Track to be Achieved">
      <formula>NOT(ISERROR(SEARCH("On Track to be Achieved",G74)))</formula>
    </cfRule>
    <cfRule type="containsText" dxfId="2567" priority="2876" operator="containsText" text="Fully Achieved">
      <formula>NOT(ISERROR(SEARCH("Fully Achieved",G74)))</formula>
    </cfRule>
    <cfRule type="containsText" dxfId="2566" priority="2877" operator="containsText" text="Fully Achieved">
      <formula>NOT(ISERROR(SEARCH("Fully Achieved",G74)))</formula>
    </cfRule>
    <cfRule type="containsText" dxfId="2565" priority="2878" operator="containsText" text="Fully Achieved">
      <formula>NOT(ISERROR(SEARCH("Fully Achieved",G74)))</formula>
    </cfRule>
    <cfRule type="containsText" dxfId="2564" priority="2879" operator="containsText" text="Deferred">
      <formula>NOT(ISERROR(SEARCH("Deferred",G74)))</formula>
    </cfRule>
    <cfRule type="containsText" dxfId="2563" priority="2880" operator="containsText" text="Deleted">
      <formula>NOT(ISERROR(SEARCH("Deleted",G74)))</formula>
    </cfRule>
    <cfRule type="containsText" dxfId="2562" priority="2881" operator="containsText" text="In Danger of Falling Behind Target">
      <formula>NOT(ISERROR(SEARCH("In Danger of Falling Behind Target",G74)))</formula>
    </cfRule>
    <cfRule type="containsText" dxfId="2561" priority="2882" operator="containsText" text="Not yet due">
      <formula>NOT(ISERROR(SEARCH("Not yet due",G74)))</formula>
    </cfRule>
    <cfRule type="containsText" dxfId="2560" priority="2883" operator="containsText" text="Update not Provided">
      <formula>NOT(ISERROR(SEARCH("Update not Provided",G74)))</formula>
    </cfRule>
  </conditionalFormatting>
  <conditionalFormatting sqref="G74">
    <cfRule type="containsText" dxfId="2559" priority="2812" operator="containsText" text="On track to be achieved">
      <formula>NOT(ISERROR(SEARCH("On track to be achieved",G74)))</formula>
    </cfRule>
    <cfRule type="containsText" dxfId="2558" priority="2813" operator="containsText" text="Deferred">
      <formula>NOT(ISERROR(SEARCH("Deferred",G74)))</formula>
    </cfRule>
    <cfRule type="containsText" dxfId="2557" priority="2814" operator="containsText" text="Deleted">
      <formula>NOT(ISERROR(SEARCH("Deleted",G74)))</formula>
    </cfRule>
    <cfRule type="containsText" dxfId="2556" priority="2815" operator="containsText" text="In Danger of Falling Behind Target">
      <formula>NOT(ISERROR(SEARCH("In Danger of Falling Behind Target",G74)))</formula>
    </cfRule>
    <cfRule type="containsText" dxfId="2555" priority="2816" operator="containsText" text="Not yet due">
      <formula>NOT(ISERROR(SEARCH("Not yet due",G74)))</formula>
    </cfRule>
    <cfRule type="containsText" dxfId="2554" priority="2817" operator="containsText" text="Update not Provided">
      <formula>NOT(ISERROR(SEARCH("Update not Provided",G74)))</formula>
    </cfRule>
    <cfRule type="containsText" dxfId="2553" priority="2818" operator="containsText" text="Not yet due">
      <formula>NOT(ISERROR(SEARCH("Not yet due",G74)))</formula>
    </cfRule>
    <cfRule type="containsText" dxfId="2552" priority="2819" operator="containsText" text="Completed Behind Schedule">
      <formula>NOT(ISERROR(SEARCH("Completed Behind Schedule",G74)))</formula>
    </cfRule>
    <cfRule type="containsText" dxfId="2551" priority="2820" operator="containsText" text="Off Target">
      <formula>NOT(ISERROR(SEARCH("Off Target",G74)))</formula>
    </cfRule>
    <cfRule type="containsText" dxfId="2550" priority="2821" operator="containsText" text="On Track to be Achieved">
      <formula>NOT(ISERROR(SEARCH("On Track to be Achieved",G74)))</formula>
    </cfRule>
    <cfRule type="containsText" dxfId="2549" priority="2822" operator="containsText" text="Fully Achieved">
      <formula>NOT(ISERROR(SEARCH("Fully Achieved",G74)))</formula>
    </cfRule>
    <cfRule type="containsText" dxfId="2548" priority="2823" operator="containsText" text="Not yet due">
      <formula>NOT(ISERROR(SEARCH("Not yet due",G74)))</formula>
    </cfRule>
    <cfRule type="containsText" dxfId="2547" priority="2824" operator="containsText" text="Not Yet Due">
      <formula>NOT(ISERROR(SEARCH("Not Yet Due",G74)))</formula>
    </cfRule>
    <cfRule type="containsText" dxfId="2546" priority="2825" operator="containsText" text="Deferred">
      <formula>NOT(ISERROR(SEARCH("Deferred",G74)))</formula>
    </cfRule>
    <cfRule type="containsText" dxfId="2545" priority="2826" operator="containsText" text="Deleted">
      <formula>NOT(ISERROR(SEARCH("Deleted",G74)))</formula>
    </cfRule>
    <cfRule type="containsText" dxfId="2544" priority="2827" operator="containsText" text="In Danger of Falling Behind Target">
      <formula>NOT(ISERROR(SEARCH("In Danger of Falling Behind Target",G74)))</formula>
    </cfRule>
    <cfRule type="containsText" dxfId="2543" priority="2828" operator="containsText" text="Not yet due">
      <formula>NOT(ISERROR(SEARCH("Not yet due",G74)))</formula>
    </cfRule>
    <cfRule type="containsText" dxfId="2542" priority="2829" operator="containsText" text="Completed Behind Schedule">
      <formula>NOT(ISERROR(SEARCH("Completed Behind Schedule",G74)))</formula>
    </cfRule>
    <cfRule type="containsText" dxfId="2541" priority="2830" operator="containsText" text="Off Target">
      <formula>NOT(ISERROR(SEARCH("Off Target",G74)))</formula>
    </cfRule>
    <cfRule type="containsText" dxfId="2540" priority="2831" operator="containsText" text="In Danger of Falling Behind Target">
      <formula>NOT(ISERROR(SEARCH("In Danger of Falling Behind Target",G74)))</formula>
    </cfRule>
    <cfRule type="containsText" dxfId="2539" priority="2832" operator="containsText" text="On Track to be Achieved">
      <formula>NOT(ISERROR(SEARCH("On Track to be Achieved",G74)))</formula>
    </cfRule>
    <cfRule type="containsText" dxfId="2538" priority="2833" operator="containsText" text="Fully Achieved">
      <formula>NOT(ISERROR(SEARCH("Fully Achieved",G74)))</formula>
    </cfRule>
    <cfRule type="containsText" dxfId="2537" priority="2834" operator="containsText" text="Update not Provided">
      <formula>NOT(ISERROR(SEARCH("Update not Provided",G74)))</formula>
    </cfRule>
    <cfRule type="containsText" dxfId="2536" priority="2835" operator="containsText" text="Not yet due">
      <formula>NOT(ISERROR(SEARCH("Not yet due",G74)))</formula>
    </cfRule>
    <cfRule type="containsText" dxfId="2535" priority="2836" operator="containsText" text="Completed Behind Schedule">
      <formula>NOT(ISERROR(SEARCH("Completed Behind Schedule",G74)))</formula>
    </cfRule>
    <cfRule type="containsText" dxfId="2534" priority="2837" operator="containsText" text="Off Target">
      <formula>NOT(ISERROR(SEARCH("Off Target",G74)))</formula>
    </cfRule>
    <cfRule type="containsText" dxfId="2533" priority="2838" operator="containsText" text="In Danger of Falling Behind Target">
      <formula>NOT(ISERROR(SEARCH("In Danger of Falling Behind Target",G74)))</formula>
    </cfRule>
    <cfRule type="containsText" dxfId="2532" priority="2839" operator="containsText" text="On Track to be Achieved">
      <formula>NOT(ISERROR(SEARCH("On Track to be Achieved",G74)))</formula>
    </cfRule>
    <cfRule type="containsText" dxfId="2531" priority="2840" operator="containsText" text="Fully Achieved">
      <formula>NOT(ISERROR(SEARCH("Fully Achieved",G74)))</formula>
    </cfRule>
    <cfRule type="containsText" dxfId="2530" priority="2841" operator="containsText" text="Fully Achieved">
      <formula>NOT(ISERROR(SEARCH("Fully Achieved",G74)))</formula>
    </cfRule>
    <cfRule type="containsText" dxfId="2529" priority="2842" operator="containsText" text="Fully Achieved">
      <formula>NOT(ISERROR(SEARCH("Fully Achieved",G74)))</formula>
    </cfRule>
    <cfRule type="containsText" dxfId="2528" priority="2843" operator="containsText" text="Deferred">
      <formula>NOT(ISERROR(SEARCH("Deferred",G74)))</formula>
    </cfRule>
    <cfRule type="containsText" dxfId="2527" priority="2844" operator="containsText" text="Deleted">
      <formula>NOT(ISERROR(SEARCH("Deleted",G74)))</formula>
    </cfRule>
    <cfRule type="containsText" dxfId="2526" priority="2845" operator="containsText" text="In Danger of Falling Behind Target">
      <formula>NOT(ISERROR(SEARCH("In Danger of Falling Behind Target",G74)))</formula>
    </cfRule>
    <cfRule type="containsText" dxfId="2525" priority="2846" operator="containsText" text="Not yet due">
      <formula>NOT(ISERROR(SEARCH("Not yet due",G74)))</formula>
    </cfRule>
    <cfRule type="containsText" dxfId="2524" priority="2847" operator="containsText" text="Update not Provided">
      <formula>NOT(ISERROR(SEARCH("Update not Provided",G74)))</formula>
    </cfRule>
  </conditionalFormatting>
  <conditionalFormatting sqref="G75:G77">
    <cfRule type="containsText" dxfId="2523" priority="2776" operator="containsText" text="On track to be achieved">
      <formula>NOT(ISERROR(SEARCH("On track to be achieved",G75)))</formula>
    </cfRule>
    <cfRule type="containsText" dxfId="2522" priority="2777" operator="containsText" text="Deferred">
      <formula>NOT(ISERROR(SEARCH("Deferred",G75)))</formula>
    </cfRule>
    <cfRule type="containsText" dxfId="2521" priority="2778" operator="containsText" text="Deleted">
      <formula>NOT(ISERROR(SEARCH("Deleted",G75)))</formula>
    </cfRule>
    <cfRule type="containsText" dxfId="2520" priority="2779" operator="containsText" text="In Danger of Falling Behind Target">
      <formula>NOT(ISERROR(SEARCH("In Danger of Falling Behind Target",G75)))</formula>
    </cfRule>
    <cfRule type="containsText" dxfId="2519" priority="2780" operator="containsText" text="Not yet due">
      <formula>NOT(ISERROR(SEARCH("Not yet due",G75)))</formula>
    </cfRule>
    <cfRule type="containsText" dxfId="2518" priority="2781" operator="containsText" text="Update not Provided">
      <formula>NOT(ISERROR(SEARCH("Update not Provided",G75)))</formula>
    </cfRule>
    <cfRule type="containsText" dxfId="2517" priority="2782" operator="containsText" text="Not yet due">
      <formula>NOT(ISERROR(SEARCH("Not yet due",G75)))</formula>
    </cfRule>
    <cfRule type="containsText" dxfId="2516" priority="2783" operator="containsText" text="Completed Behind Schedule">
      <formula>NOT(ISERROR(SEARCH("Completed Behind Schedule",G75)))</formula>
    </cfRule>
    <cfRule type="containsText" dxfId="2515" priority="2784" operator="containsText" text="Off Target">
      <formula>NOT(ISERROR(SEARCH("Off Target",G75)))</formula>
    </cfRule>
    <cfRule type="containsText" dxfId="2514" priority="2785" operator="containsText" text="On Track to be Achieved">
      <formula>NOT(ISERROR(SEARCH("On Track to be Achieved",G75)))</formula>
    </cfRule>
    <cfRule type="containsText" dxfId="2513" priority="2786" operator="containsText" text="Fully Achieved">
      <formula>NOT(ISERROR(SEARCH("Fully Achieved",G75)))</formula>
    </cfRule>
    <cfRule type="containsText" dxfId="2512" priority="2787" operator="containsText" text="Not yet due">
      <formula>NOT(ISERROR(SEARCH("Not yet due",G75)))</formula>
    </cfRule>
    <cfRule type="containsText" dxfId="2511" priority="2788" operator="containsText" text="Not Yet Due">
      <formula>NOT(ISERROR(SEARCH("Not Yet Due",G75)))</formula>
    </cfRule>
    <cfRule type="containsText" dxfId="2510" priority="2789" operator="containsText" text="Deferred">
      <formula>NOT(ISERROR(SEARCH("Deferred",G75)))</formula>
    </cfRule>
    <cfRule type="containsText" dxfId="2509" priority="2790" operator="containsText" text="Deleted">
      <formula>NOT(ISERROR(SEARCH("Deleted",G75)))</formula>
    </cfRule>
    <cfRule type="containsText" dxfId="2508" priority="2791" operator="containsText" text="In Danger of Falling Behind Target">
      <formula>NOT(ISERROR(SEARCH("In Danger of Falling Behind Target",G75)))</formula>
    </cfRule>
    <cfRule type="containsText" dxfId="2507" priority="2792" operator="containsText" text="Not yet due">
      <formula>NOT(ISERROR(SEARCH("Not yet due",G75)))</formula>
    </cfRule>
    <cfRule type="containsText" dxfId="2506" priority="2793" operator="containsText" text="Completed Behind Schedule">
      <formula>NOT(ISERROR(SEARCH("Completed Behind Schedule",G75)))</formula>
    </cfRule>
    <cfRule type="containsText" dxfId="2505" priority="2794" operator="containsText" text="Off Target">
      <formula>NOT(ISERROR(SEARCH("Off Target",G75)))</formula>
    </cfRule>
    <cfRule type="containsText" dxfId="2504" priority="2795" operator="containsText" text="In Danger of Falling Behind Target">
      <formula>NOT(ISERROR(SEARCH("In Danger of Falling Behind Target",G75)))</formula>
    </cfRule>
    <cfRule type="containsText" dxfId="2503" priority="2796" operator="containsText" text="On Track to be Achieved">
      <formula>NOT(ISERROR(SEARCH("On Track to be Achieved",G75)))</formula>
    </cfRule>
    <cfRule type="containsText" dxfId="2502" priority="2797" operator="containsText" text="Fully Achieved">
      <formula>NOT(ISERROR(SEARCH("Fully Achieved",G75)))</formula>
    </cfRule>
    <cfRule type="containsText" dxfId="2501" priority="2798" operator="containsText" text="Update not Provided">
      <formula>NOT(ISERROR(SEARCH("Update not Provided",G75)))</formula>
    </cfRule>
    <cfRule type="containsText" dxfId="2500" priority="2799" operator="containsText" text="Not yet due">
      <formula>NOT(ISERROR(SEARCH("Not yet due",G75)))</formula>
    </cfRule>
    <cfRule type="containsText" dxfId="2499" priority="2800" operator="containsText" text="Completed Behind Schedule">
      <formula>NOT(ISERROR(SEARCH("Completed Behind Schedule",G75)))</formula>
    </cfRule>
    <cfRule type="containsText" dxfId="2498" priority="2801" operator="containsText" text="Off Target">
      <formula>NOT(ISERROR(SEARCH("Off Target",G75)))</formula>
    </cfRule>
    <cfRule type="containsText" dxfId="2497" priority="2802" operator="containsText" text="In Danger of Falling Behind Target">
      <formula>NOT(ISERROR(SEARCH("In Danger of Falling Behind Target",G75)))</formula>
    </cfRule>
    <cfRule type="containsText" dxfId="2496" priority="2803" operator="containsText" text="On Track to be Achieved">
      <formula>NOT(ISERROR(SEARCH("On Track to be Achieved",G75)))</formula>
    </cfRule>
    <cfRule type="containsText" dxfId="2495" priority="2804" operator="containsText" text="Fully Achieved">
      <formula>NOT(ISERROR(SEARCH("Fully Achieved",G75)))</formula>
    </cfRule>
    <cfRule type="containsText" dxfId="2494" priority="2805" operator="containsText" text="Fully Achieved">
      <formula>NOT(ISERROR(SEARCH("Fully Achieved",G75)))</formula>
    </cfRule>
    <cfRule type="containsText" dxfId="2493" priority="2806" operator="containsText" text="Fully Achieved">
      <formula>NOT(ISERROR(SEARCH("Fully Achieved",G75)))</formula>
    </cfRule>
    <cfRule type="containsText" dxfId="2492" priority="2807" operator="containsText" text="Deferred">
      <formula>NOT(ISERROR(SEARCH("Deferred",G75)))</formula>
    </cfRule>
    <cfRule type="containsText" dxfId="2491" priority="2808" operator="containsText" text="Deleted">
      <formula>NOT(ISERROR(SEARCH("Deleted",G75)))</formula>
    </cfRule>
    <cfRule type="containsText" dxfId="2490" priority="2809" operator="containsText" text="In Danger of Falling Behind Target">
      <formula>NOT(ISERROR(SEARCH("In Danger of Falling Behind Target",G75)))</formula>
    </cfRule>
    <cfRule type="containsText" dxfId="2489" priority="2810" operator="containsText" text="Not yet due">
      <formula>NOT(ISERROR(SEARCH("Not yet due",G75)))</formula>
    </cfRule>
    <cfRule type="containsText" dxfId="2488" priority="2811" operator="containsText" text="Update not Provided">
      <formula>NOT(ISERROR(SEARCH("Update not Provided",G75)))</formula>
    </cfRule>
  </conditionalFormatting>
  <conditionalFormatting sqref="G79:G82">
    <cfRule type="containsText" dxfId="2487" priority="2740" operator="containsText" text="On track to be achieved">
      <formula>NOT(ISERROR(SEARCH("On track to be achieved",G79)))</formula>
    </cfRule>
    <cfRule type="containsText" dxfId="2486" priority="2741" operator="containsText" text="Deferred">
      <formula>NOT(ISERROR(SEARCH("Deferred",G79)))</formula>
    </cfRule>
    <cfRule type="containsText" dxfId="2485" priority="2742" operator="containsText" text="Deleted">
      <formula>NOT(ISERROR(SEARCH("Deleted",G79)))</formula>
    </cfRule>
    <cfRule type="containsText" dxfId="2484" priority="2743" operator="containsText" text="In Danger of Falling Behind Target">
      <formula>NOT(ISERROR(SEARCH("In Danger of Falling Behind Target",G79)))</formula>
    </cfRule>
    <cfRule type="containsText" dxfId="2483" priority="2744" operator="containsText" text="Not yet due">
      <formula>NOT(ISERROR(SEARCH("Not yet due",G79)))</formula>
    </cfRule>
    <cfRule type="containsText" dxfId="2482" priority="2745" operator="containsText" text="Update not Provided">
      <formula>NOT(ISERROR(SEARCH("Update not Provided",G79)))</formula>
    </cfRule>
    <cfRule type="containsText" dxfId="2481" priority="2746" operator="containsText" text="Not yet due">
      <formula>NOT(ISERROR(SEARCH("Not yet due",G79)))</formula>
    </cfRule>
    <cfRule type="containsText" dxfId="2480" priority="2747" operator="containsText" text="Completed Behind Schedule">
      <formula>NOT(ISERROR(SEARCH("Completed Behind Schedule",G79)))</formula>
    </cfRule>
    <cfRule type="containsText" dxfId="2479" priority="2748" operator="containsText" text="Off Target">
      <formula>NOT(ISERROR(SEARCH("Off Target",G79)))</formula>
    </cfRule>
    <cfRule type="containsText" dxfId="2478" priority="2749" operator="containsText" text="On Track to be Achieved">
      <formula>NOT(ISERROR(SEARCH("On Track to be Achieved",G79)))</formula>
    </cfRule>
    <cfRule type="containsText" dxfId="2477" priority="2750" operator="containsText" text="Fully Achieved">
      <formula>NOT(ISERROR(SEARCH("Fully Achieved",G79)))</formula>
    </cfRule>
    <cfRule type="containsText" dxfId="2476" priority="2751" operator="containsText" text="Not yet due">
      <formula>NOT(ISERROR(SEARCH("Not yet due",G79)))</formula>
    </cfRule>
    <cfRule type="containsText" dxfId="2475" priority="2752" operator="containsText" text="Not Yet Due">
      <formula>NOT(ISERROR(SEARCH("Not Yet Due",G79)))</formula>
    </cfRule>
    <cfRule type="containsText" dxfId="2474" priority="2753" operator="containsText" text="Deferred">
      <formula>NOT(ISERROR(SEARCH("Deferred",G79)))</formula>
    </cfRule>
    <cfRule type="containsText" dxfId="2473" priority="2754" operator="containsText" text="Deleted">
      <formula>NOT(ISERROR(SEARCH("Deleted",G79)))</formula>
    </cfRule>
    <cfRule type="containsText" dxfId="2472" priority="2755" operator="containsText" text="In Danger of Falling Behind Target">
      <formula>NOT(ISERROR(SEARCH("In Danger of Falling Behind Target",G79)))</formula>
    </cfRule>
    <cfRule type="containsText" dxfId="2471" priority="2756" operator="containsText" text="Not yet due">
      <formula>NOT(ISERROR(SEARCH("Not yet due",G79)))</formula>
    </cfRule>
    <cfRule type="containsText" dxfId="2470" priority="2757" operator="containsText" text="Completed Behind Schedule">
      <formula>NOT(ISERROR(SEARCH("Completed Behind Schedule",G79)))</formula>
    </cfRule>
    <cfRule type="containsText" dxfId="2469" priority="2758" operator="containsText" text="Off Target">
      <formula>NOT(ISERROR(SEARCH("Off Target",G79)))</formula>
    </cfRule>
    <cfRule type="containsText" dxfId="2468" priority="2759" operator="containsText" text="In Danger of Falling Behind Target">
      <formula>NOT(ISERROR(SEARCH("In Danger of Falling Behind Target",G79)))</formula>
    </cfRule>
    <cfRule type="containsText" dxfId="2467" priority="2760" operator="containsText" text="On Track to be Achieved">
      <formula>NOT(ISERROR(SEARCH("On Track to be Achieved",G79)))</formula>
    </cfRule>
    <cfRule type="containsText" dxfId="2466" priority="2761" operator="containsText" text="Fully Achieved">
      <formula>NOT(ISERROR(SEARCH("Fully Achieved",G79)))</formula>
    </cfRule>
    <cfRule type="containsText" dxfId="2465" priority="2762" operator="containsText" text="Update not Provided">
      <formula>NOT(ISERROR(SEARCH("Update not Provided",G79)))</formula>
    </cfRule>
    <cfRule type="containsText" dxfId="2464" priority="2763" operator="containsText" text="Not yet due">
      <formula>NOT(ISERROR(SEARCH("Not yet due",G79)))</formula>
    </cfRule>
    <cfRule type="containsText" dxfId="2463" priority="2764" operator="containsText" text="Completed Behind Schedule">
      <formula>NOT(ISERROR(SEARCH("Completed Behind Schedule",G79)))</formula>
    </cfRule>
    <cfRule type="containsText" dxfId="2462" priority="2765" operator="containsText" text="Off Target">
      <formula>NOT(ISERROR(SEARCH("Off Target",G79)))</formula>
    </cfRule>
    <cfRule type="containsText" dxfId="2461" priority="2766" operator="containsText" text="In Danger of Falling Behind Target">
      <formula>NOT(ISERROR(SEARCH("In Danger of Falling Behind Target",G79)))</formula>
    </cfRule>
    <cfRule type="containsText" dxfId="2460" priority="2767" operator="containsText" text="On Track to be Achieved">
      <formula>NOT(ISERROR(SEARCH("On Track to be Achieved",G79)))</formula>
    </cfRule>
    <cfRule type="containsText" dxfId="2459" priority="2768" operator="containsText" text="Fully Achieved">
      <formula>NOT(ISERROR(SEARCH("Fully Achieved",G79)))</formula>
    </cfRule>
    <cfRule type="containsText" dxfId="2458" priority="2769" operator="containsText" text="Fully Achieved">
      <formula>NOT(ISERROR(SEARCH("Fully Achieved",G79)))</formula>
    </cfRule>
    <cfRule type="containsText" dxfId="2457" priority="2770" operator="containsText" text="Fully Achieved">
      <formula>NOT(ISERROR(SEARCH("Fully Achieved",G79)))</formula>
    </cfRule>
    <cfRule type="containsText" dxfId="2456" priority="2771" operator="containsText" text="Deferred">
      <formula>NOT(ISERROR(SEARCH("Deferred",G79)))</formula>
    </cfRule>
    <cfRule type="containsText" dxfId="2455" priority="2772" operator="containsText" text="Deleted">
      <formula>NOT(ISERROR(SEARCH("Deleted",G79)))</formula>
    </cfRule>
    <cfRule type="containsText" dxfId="2454" priority="2773" operator="containsText" text="In Danger of Falling Behind Target">
      <formula>NOT(ISERROR(SEARCH("In Danger of Falling Behind Target",G79)))</formula>
    </cfRule>
    <cfRule type="containsText" dxfId="2453" priority="2774" operator="containsText" text="Not yet due">
      <formula>NOT(ISERROR(SEARCH("Not yet due",G79)))</formula>
    </cfRule>
    <cfRule type="containsText" dxfId="2452" priority="2775" operator="containsText" text="Update not Provided">
      <formula>NOT(ISERROR(SEARCH("Update not Provided",G79)))</formula>
    </cfRule>
  </conditionalFormatting>
  <conditionalFormatting sqref="G84:G85">
    <cfRule type="containsText" dxfId="2451" priority="2704" operator="containsText" text="On track to be achieved">
      <formula>NOT(ISERROR(SEARCH("On track to be achieved",G84)))</formula>
    </cfRule>
    <cfRule type="containsText" dxfId="2450" priority="2705" operator="containsText" text="Deferred">
      <formula>NOT(ISERROR(SEARCH("Deferred",G84)))</formula>
    </cfRule>
    <cfRule type="containsText" dxfId="2449" priority="2706" operator="containsText" text="Deleted">
      <formula>NOT(ISERROR(SEARCH("Deleted",G84)))</formula>
    </cfRule>
    <cfRule type="containsText" dxfId="2448" priority="2707" operator="containsText" text="In Danger of Falling Behind Target">
      <formula>NOT(ISERROR(SEARCH("In Danger of Falling Behind Target",G84)))</formula>
    </cfRule>
    <cfRule type="containsText" dxfId="2447" priority="2708" operator="containsText" text="Not yet due">
      <formula>NOT(ISERROR(SEARCH("Not yet due",G84)))</formula>
    </cfRule>
    <cfRule type="containsText" dxfId="2446" priority="2709" operator="containsText" text="Update not Provided">
      <formula>NOT(ISERROR(SEARCH("Update not Provided",G84)))</formula>
    </cfRule>
    <cfRule type="containsText" dxfId="2445" priority="2710" operator="containsText" text="Not yet due">
      <formula>NOT(ISERROR(SEARCH("Not yet due",G84)))</formula>
    </cfRule>
    <cfRule type="containsText" dxfId="2444" priority="2711" operator="containsText" text="Completed Behind Schedule">
      <formula>NOT(ISERROR(SEARCH("Completed Behind Schedule",G84)))</formula>
    </cfRule>
    <cfRule type="containsText" dxfId="2443" priority="2712" operator="containsText" text="Off Target">
      <formula>NOT(ISERROR(SEARCH("Off Target",G84)))</formula>
    </cfRule>
    <cfRule type="containsText" dxfId="2442" priority="2713" operator="containsText" text="On Track to be Achieved">
      <formula>NOT(ISERROR(SEARCH("On Track to be Achieved",G84)))</formula>
    </cfRule>
    <cfRule type="containsText" dxfId="2441" priority="2714" operator="containsText" text="Fully Achieved">
      <formula>NOT(ISERROR(SEARCH("Fully Achieved",G84)))</formula>
    </cfRule>
    <cfRule type="containsText" dxfId="2440" priority="2715" operator="containsText" text="Not yet due">
      <formula>NOT(ISERROR(SEARCH("Not yet due",G84)))</formula>
    </cfRule>
    <cfRule type="containsText" dxfId="2439" priority="2716" operator="containsText" text="Not Yet Due">
      <formula>NOT(ISERROR(SEARCH("Not Yet Due",G84)))</formula>
    </cfRule>
    <cfRule type="containsText" dxfId="2438" priority="2717" operator="containsText" text="Deferred">
      <formula>NOT(ISERROR(SEARCH("Deferred",G84)))</formula>
    </cfRule>
    <cfRule type="containsText" dxfId="2437" priority="2718" operator="containsText" text="Deleted">
      <formula>NOT(ISERROR(SEARCH("Deleted",G84)))</formula>
    </cfRule>
    <cfRule type="containsText" dxfId="2436" priority="2719" operator="containsText" text="In Danger of Falling Behind Target">
      <formula>NOT(ISERROR(SEARCH("In Danger of Falling Behind Target",G84)))</formula>
    </cfRule>
    <cfRule type="containsText" dxfId="2435" priority="2720" operator="containsText" text="Not yet due">
      <formula>NOT(ISERROR(SEARCH("Not yet due",G84)))</formula>
    </cfRule>
    <cfRule type="containsText" dxfId="2434" priority="2721" operator="containsText" text="Completed Behind Schedule">
      <formula>NOT(ISERROR(SEARCH("Completed Behind Schedule",G84)))</formula>
    </cfRule>
    <cfRule type="containsText" dxfId="2433" priority="2722" operator="containsText" text="Off Target">
      <formula>NOT(ISERROR(SEARCH("Off Target",G84)))</formula>
    </cfRule>
    <cfRule type="containsText" dxfId="2432" priority="2723" operator="containsText" text="In Danger of Falling Behind Target">
      <formula>NOT(ISERROR(SEARCH("In Danger of Falling Behind Target",G84)))</formula>
    </cfRule>
    <cfRule type="containsText" dxfId="2431" priority="2724" operator="containsText" text="On Track to be Achieved">
      <formula>NOT(ISERROR(SEARCH("On Track to be Achieved",G84)))</formula>
    </cfRule>
    <cfRule type="containsText" dxfId="2430" priority="2725" operator="containsText" text="Fully Achieved">
      <formula>NOT(ISERROR(SEARCH("Fully Achieved",G84)))</formula>
    </cfRule>
    <cfRule type="containsText" dxfId="2429" priority="2726" operator="containsText" text="Update not Provided">
      <formula>NOT(ISERROR(SEARCH("Update not Provided",G84)))</formula>
    </cfRule>
    <cfRule type="containsText" dxfId="2428" priority="2727" operator="containsText" text="Not yet due">
      <formula>NOT(ISERROR(SEARCH("Not yet due",G84)))</formula>
    </cfRule>
    <cfRule type="containsText" dxfId="2427" priority="2728" operator="containsText" text="Completed Behind Schedule">
      <formula>NOT(ISERROR(SEARCH("Completed Behind Schedule",G84)))</formula>
    </cfRule>
    <cfRule type="containsText" dxfId="2426" priority="2729" operator="containsText" text="Off Target">
      <formula>NOT(ISERROR(SEARCH("Off Target",G84)))</formula>
    </cfRule>
    <cfRule type="containsText" dxfId="2425" priority="2730" operator="containsText" text="In Danger of Falling Behind Target">
      <formula>NOT(ISERROR(SEARCH("In Danger of Falling Behind Target",G84)))</formula>
    </cfRule>
    <cfRule type="containsText" dxfId="2424" priority="2731" operator="containsText" text="On Track to be Achieved">
      <formula>NOT(ISERROR(SEARCH("On Track to be Achieved",G84)))</formula>
    </cfRule>
    <cfRule type="containsText" dxfId="2423" priority="2732" operator="containsText" text="Fully Achieved">
      <formula>NOT(ISERROR(SEARCH("Fully Achieved",G84)))</formula>
    </cfRule>
    <cfRule type="containsText" dxfId="2422" priority="2733" operator="containsText" text="Fully Achieved">
      <formula>NOT(ISERROR(SEARCH("Fully Achieved",G84)))</formula>
    </cfRule>
    <cfRule type="containsText" dxfId="2421" priority="2734" operator="containsText" text="Fully Achieved">
      <formula>NOT(ISERROR(SEARCH("Fully Achieved",G84)))</formula>
    </cfRule>
    <cfRule type="containsText" dxfId="2420" priority="2735" operator="containsText" text="Deferred">
      <formula>NOT(ISERROR(SEARCH("Deferred",G84)))</formula>
    </cfRule>
    <cfRule type="containsText" dxfId="2419" priority="2736" operator="containsText" text="Deleted">
      <formula>NOT(ISERROR(SEARCH("Deleted",G84)))</formula>
    </cfRule>
    <cfRule type="containsText" dxfId="2418" priority="2737" operator="containsText" text="In Danger of Falling Behind Target">
      <formula>NOT(ISERROR(SEARCH("In Danger of Falling Behind Target",G84)))</formula>
    </cfRule>
    <cfRule type="containsText" dxfId="2417" priority="2738" operator="containsText" text="Not yet due">
      <formula>NOT(ISERROR(SEARCH("Not yet due",G84)))</formula>
    </cfRule>
    <cfRule type="containsText" dxfId="2416" priority="2739" operator="containsText" text="Update not Provided">
      <formula>NOT(ISERROR(SEARCH("Update not Provided",G84)))</formula>
    </cfRule>
  </conditionalFormatting>
  <conditionalFormatting sqref="G86">
    <cfRule type="containsText" dxfId="2415" priority="2668" operator="containsText" text="On track to be achieved">
      <formula>NOT(ISERROR(SEARCH("On track to be achieved",G86)))</formula>
    </cfRule>
    <cfRule type="containsText" dxfId="2414" priority="2669" operator="containsText" text="Deferred">
      <formula>NOT(ISERROR(SEARCH("Deferred",G86)))</formula>
    </cfRule>
    <cfRule type="containsText" dxfId="2413" priority="2670" operator="containsText" text="Deleted">
      <formula>NOT(ISERROR(SEARCH("Deleted",G86)))</formula>
    </cfRule>
    <cfRule type="containsText" dxfId="2412" priority="2671" operator="containsText" text="In Danger of Falling Behind Target">
      <formula>NOT(ISERROR(SEARCH("In Danger of Falling Behind Target",G86)))</formula>
    </cfRule>
    <cfRule type="containsText" dxfId="2411" priority="2672" operator="containsText" text="Not yet due">
      <formula>NOT(ISERROR(SEARCH("Not yet due",G86)))</formula>
    </cfRule>
    <cfRule type="containsText" dxfId="2410" priority="2673" operator="containsText" text="Update not Provided">
      <formula>NOT(ISERROR(SEARCH("Update not Provided",G86)))</formula>
    </cfRule>
    <cfRule type="containsText" dxfId="2409" priority="2674" operator="containsText" text="Not yet due">
      <formula>NOT(ISERROR(SEARCH("Not yet due",G86)))</formula>
    </cfRule>
    <cfRule type="containsText" dxfId="2408" priority="2675" operator="containsText" text="Completed Behind Schedule">
      <formula>NOT(ISERROR(SEARCH("Completed Behind Schedule",G86)))</formula>
    </cfRule>
    <cfRule type="containsText" dxfId="2407" priority="2676" operator="containsText" text="Off Target">
      <formula>NOT(ISERROR(SEARCH("Off Target",G86)))</formula>
    </cfRule>
    <cfRule type="containsText" dxfId="2406" priority="2677" operator="containsText" text="On Track to be Achieved">
      <formula>NOT(ISERROR(SEARCH("On Track to be Achieved",G86)))</formula>
    </cfRule>
    <cfRule type="containsText" dxfId="2405" priority="2678" operator="containsText" text="Fully Achieved">
      <formula>NOT(ISERROR(SEARCH("Fully Achieved",G86)))</formula>
    </cfRule>
    <cfRule type="containsText" dxfId="2404" priority="2679" operator="containsText" text="Not yet due">
      <formula>NOT(ISERROR(SEARCH("Not yet due",G86)))</formula>
    </cfRule>
    <cfRule type="containsText" dxfId="2403" priority="2680" operator="containsText" text="Not Yet Due">
      <formula>NOT(ISERROR(SEARCH("Not Yet Due",G86)))</formula>
    </cfRule>
    <cfRule type="containsText" dxfId="2402" priority="2681" operator="containsText" text="Deferred">
      <formula>NOT(ISERROR(SEARCH("Deferred",G86)))</formula>
    </cfRule>
    <cfRule type="containsText" dxfId="2401" priority="2682" operator="containsText" text="Deleted">
      <formula>NOT(ISERROR(SEARCH("Deleted",G86)))</formula>
    </cfRule>
    <cfRule type="containsText" dxfId="2400" priority="2683" operator="containsText" text="In Danger of Falling Behind Target">
      <formula>NOT(ISERROR(SEARCH("In Danger of Falling Behind Target",G86)))</formula>
    </cfRule>
    <cfRule type="containsText" dxfId="2399" priority="2684" operator="containsText" text="Not yet due">
      <formula>NOT(ISERROR(SEARCH("Not yet due",G86)))</formula>
    </cfRule>
    <cfRule type="containsText" dxfId="2398" priority="2685" operator="containsText" text="Completed Behind Schedule">
      <formula>NOT(ISERROR(SEARCH("Completed Behind Schedule",G86)))</formula>
    </cfRule>
    <cfRule type="containsText" dxfId="2397" priority="2686" operator="containsText" text="Off Target">
      <formula>NOT(ISERROR(SEARCH("Off Target",G86)))</formula>
    </cfRule>
    <cfRule type="containsText" dxfId="2396" priority="2687" operator="containsText" text="In Danger of Falling Behind Target">
      <formula>NOT(ISERROR(SEARCH("In Danger of Falling Behind Target",G86)))</formula>
    </cfRule>
    <cfRule type="containsText" dxfId="2395" priority="2688" operator="containsText" text="On Track to be Achieved">
      <formula>NOT(ISERROR(SEARCH("On Track to be Achieved",G86)))</formula>
    </cfRule>
    <cfRule type="containsText" dxfId="2394" priority="2689" operator="containsText" text="Fully Achieved">
      <formula>NOT(ISERROR(SEARCH("Fully Achieved",G86)))</formula>
    </cfRule>
    <cfRule type="containsText" dxfId="2393" priority="2690" operator="containsText" text="Update not Provided">
      <formula>NOT(ISERROR(SEARCH("Update not Provided",G86)))</formula>
    </cfRule>
    <cfRule type="containsText" dxfId="2392" priority="2691" operator="containsText" text="Not yet due">
      <formula>NOT(ISERROR(SEARCH("Not yet due",G86)))</formula>
    </cfRule>
    <cfRule type="containsText" dxfId="2391" priority="2692" operator="containsText" text="Completed Behind Schedule">
      <formula>NOT(ISERROR(SEARCH("Completed Behind Schedule",G86)))</formula>
    </cfRule>
    <cfRule type="containsText" dxfId="2390" priority="2693" operator="containsText" text="Off Target">
      <formula>NOT(ISERROR(SEARCH("Off Target",G86)))</formula>
    </cfRule>
    <cfRule type="containsText" dxfId="2389" priority="2694" operator="containsText" text="In Danger of Falling Behind Target">
      <formula>NOT(ISERROR(SEARCH("In Danger of Falling Behind Target",G86)))</formula>
    </cfRule>
    <cfRule type="containsText" dxfId="2388" priority="2695" operator="containsText" text="On Track to be Achieved">
      <formula>NOT(ISERROR(SEARCH("On Track to be Achieved",G86)))</formula>
    </cfRule>
    <cfRule type="containsText" dxfId="2387" priority="2696" operator="containsText" text="Fully Achieved">
      <formula>NOT(ISERROR(SEARCH("Fully Achieved",G86)))</formula>
    </cfRule>
    <cfRule type="containsText" dxfId="2386" priority="2697" operator="containsText" text="Fully Achieved">
      <formula>NOT(ISERROR(SEARCH("Fully Achieved",G86)))</formula>
    </cfRule>
    <cfRule type="containsText" dxfId="2385" priority="2698" operator="containsText" text="Fully Achieved">
      <formula>NOT(ISERROR(SEARCH("Fully Achieved",G86)))</formula>
    </cfRule>
    <cfRule type="containsText" dxfId="2384" priority="2699" operator="containsText" text="Deferred">
      <formula>NOT(ISERROR(SEARCH("Deferred",G86)))</formula>
    </cfRule>
    <cfRule type="containsText" dxfId="2383" priority="2700" operator="containsText" text="Deleted">
      <formula>NOT(ISERROR(SEARCH("Deleted",G86)))</formula>
    </cfRule>
    <cfRule type="containsText" dxfId="2382" priority="2701" operator="containsText" text="In Danger of Falling Behind Target">
      <formula>NOT(ISERROR(SEARCH("In Danger of Falling Behind Target",G86)))</formula>
    </cfRule>
    <cfRule type="containsText" dxfId="2381" priority="2702" operator="containsText" text="Not yet due">
      <formula>NOT(ISERROR(SEARCH("Not yet due",G86)))</formula>
    </cfRule>
    <cfRule type="containsText" dxfId="2380" priority="2703" operator="containsText" text="Update not Provided">
      <formula>NOT(ISERROR(SEARCH("Update not Provided",G86)))</formula>
    </cfRule>
  </conditionalFormatting>
  <conditionalFormatting sqref="G86">
    <cfRule type="containsText" dxfId="2379" priority="2632" operator="containsText" text="On track to be achieved">
      <formula>NOT(ISERROR(SEARCH("On track to be achieved",G86)))</formula>
    </cfRule>
    <cfRule type="containsText" dxfId="2378" priority="2633" operator="containsText" text="Deferred">
      <formula>NOT(ISERROR(SEARCH("Deferred",G86)))</formula>
    </cfRule>
    <cfRule type="containsText" dxfId="2377" priority="2634" operator="containsText" text="Deleted">
      <formula>NOT(ISERROR(SEARCH("Deleted",G86)))</formula>
    </cfRule>
    <cfRule type="containsText" dxfId="2376" priority="2635" operator="containsText" text="In Danger of Falling Behind Target">
      <formula>NOT(ISERROR(SEARCH("In Danger of Falling Behind Target",G86)))</formula>
    </cfRule>
    <cfRule type="containsText" dxfId="2375" priority="2636" operator="containsText" text="Not yet due">
      <formula>NOT(ISERROR(SEARCH("Not yet due",G86)))</formula>
    </cfRule>
    <cfRule type="containsText" dxfId="2374" priority="2637" operator="containsText" text="Update not Provided">
      <formula>NOT(ISERROR(SEARCH("Update not Provided",G86)))</formula>
    </cfRule>
    <cfRule type="containsText" dxfId="2373" priority="2638" operator="containsText" text="Not yet due">
      <formula>NOT(ISERROR(SEARCH("Not yet due",G86)))</formula>
    </cfRule>
    <cfRule type="containsText" dxfId="2372" priority="2639" operator="containsText" text="Completed Behind Schedule">
      <formula>NOT(ISERROR(SEARCH("Completed Behind Schedule",G86)))</formula>
    </cfRule>
    <cfRule type="containsText" dxfId="2371" priority="2640" operator="containsText" text="Off Target">
      <formula>NOT(ISERROR(SEARCH("Off Target",G86)))</formula>
    </cfRule>
    <cfRule type="containsText" dxfId="2370" priority="2641" operator="containsText" text="On Track to be Achieved">
      <formula>NOT(ISERROR(SEARCH("On Track to be Achieved",G86)))</formula>
    </cfRule>
    <cfRule type="containsText" dxfId="2369" priority="2642" operator="containsText" text="Fully Achieved">
      <formula>NOT(ISERROR(SEARCH("Fully Achieved",G86)))</formula>
    </cfRule>
    <cfRule type="containsText" dxfId="2368" priority="2643" operator="containsText" text="Not yet due">
      <formula>NOT(ISERROR(SEARCH("Not yet due",G86)))</formula>
    </cfRule>
    <cfRule type="containsText" dxfId="2367" priority="2644" operator="containsText" text="Not Yet Due">
      <formula>NOT(ISERROR(SEARCH("Not Yet Due",G86)))</formula>
    </cfRule>
    <cfRule type="containsText" dxfId="2366" priority="2645" operator="containsText" text="Deferred">
      <formula>NOT(ISERROR(SEARCH("Deferred",G86)))</formula>
    </cfRule>
    <cfRule type="containsText" dxfId="2365" priority="2646" operator="containsText" text="Deleted">
      <formula>NOT(ISERROR(SEARCH("Deleted",G86)))</formula>
    </cfRule>
    <cfRule type="containsText" dxfId="2364" priority="2647" operator="containsText" text="In Danger of Falling Behind Target">
      <formula>NOT(ISERROR(SEARCH("In Danger of Falling Behind Target",G86)))</formula>
    </cfRule>
    <cfRule type="containsText" dxfId="2363" priority="2648" operator="containsText" text="Not yet due">
      <formula>NOT(ISERROR(SEARCH("Not yet due",G86)))</formula>
    </cfRule>
    <cfRule type="containsText" dxfId="2362" priority="2649" operator="containsText" text="Completed Behind Schedule">
      <formula>NOT(ISERROR(SEARCH("Completed Behind Schedule",G86)))</formula>
    </cfRule>
    <cfRule type="containsText" dxfId="2361" priority="2650" operator="containsText" text="Off Target">
      <formula>NOT(ISERROR(SEARCH("Off Target",G86)))</formula>
    </cfRule>
    <cfRule type="containsText" dxfId="2360" priority="2651" operator="containsText" text="In Danger of Falling Behind Target">
      <formula>NOT(ISERROR(SEARCH("In Danger of Falling Behind Target",G86)))</formula>
    </cfRule>
    <cfRule type="containsText" dxfId="2359" priority="2652" operator="containsText" text="On Track to be Achieved">
      <formula>NOT(ISERROR(SEARCH("On Track to be Achieved",G86)))</formula>
    </cfRule>
    <cfRule type="containsText" dxfId="2358" priority="2653" operator="containsText" text="Fully Achieved">
      <formula>NOT(ISERROR(SEARCH("Fully Achieved",G86)))</formula>
    </cfRule>
    <cfRule type="containsText" dxfId="2357" priority="2654" operator="containsText" text="Update not Provided">
      <formula>NOT(ISERROR(SEARCH("Update not Provided",G86)))</formula>
    </cfRule>
    <cfRule type="containsText" dxfId="2356" priority="2655" operator="containsText" text="Not yet due">
      <formula>NOT(ISERROR(SEARCH("Not yet due",G86)))</formula>
    </cfRule>
    <cfRule type="containsText" dxfId="2355" priority="2656" operator="containsText" text="Completed Behind Schedule">
      <formula>NOT(ISERROR(SEARCH("Completed Behind Schedule",G86)))</formula>
    </cfRule>
    <cfRule type="containsText" dxfId="2354" priority="2657" operator="containsText" text="Off Target">
      <formula>NOT(ISERROR(SEARCH("Off Target",G86)))</formula>
    </cfRule>
    <cfRule type="containsText" dxfId="2353" priority="2658" operator="containsText" text="In Danger of Falling Behind Target">
      <formula>NOT(ISERROR(SEARCH("In Danger of Falling Behind Target",G86)))</formula>
    </cfRule>
    <cfRule type="containsText" dxfId="2352" priority="2659" operator="containsText" text="On Track to be Achieved">
      <formula>NOT(ISERROR(SEARCH("On Track to be Achieved",G86)))</formula>
    </cfRule>
    <cfRule type="containsText" dxfId="2351" priority="2660" operator="containsText" text="Fully Achieved">
      <formula>NOT(ISERROR(SEARCH("Fully Achieved",G86)))</formula>
    </cfRule>
    <cfRule type="containsText" dxfId="2350" priority="2661" operator="containsText" text="Fully Achieved">
      <formula>NOT(ISERROR(SEARCH("Fully Achieved",G86)))</formula>
    </cfRule>
    <cfRule type="containsText" dxfId="2349" priority="2662" operator="containsText" text="Fully Achieved">
      <formula>NOT(ISERROR(SEARCH("Fully Achieved",G86)))</formula>
    </cfRule>
    <cfRule type="containsText" dxfId="2348" priority="2663" operator="containsText" text="Deferred">
      <formula>NOT(ISERROR(SEARCH("Deferred",G86)))</formula>
    </cfRule>
    <cfRule type="containsText" dxfId="2347" priority="2664" operator="containsText" text="Deleted">
      <formula>NOT(ISERROR(SEARCH("Deleted",G86)))</formula>
    </cfRule>
    <cfRule type="containsText" dxfId="2346" priority="2665" operator="containsText" text="In Danger of Falling Behind Target">
      <formula>NOT(ISERROR(SEARCH("In Danger of Falling Behind Target",G86)))</formula>
    </cfRule>
    <cfRule type="containsText" dxfId="2345" priority="2666" operator="containsText" text="Not yet due">
      <formula>NOT(ISERROR(SEARCH("Not yet due",G86)))</formula>
    </cfRule>
    <cfRule type="containsText" dxfId="2344" priority="2667" operator="containsText" text="Update not Provided">
      <formula>NOT(ISERROR(SEARCH("Update not Provided",G86)))</formula>
    </cfRule>
  </conditionalFormatting>
  <conditionalFormatting sqref="G87:G97">
    <cfRule type="containsText" dxfId="2343" priority="2596" operator="containsText" text="On track to be achieved">
      <formula>NOT(ISERROR(SEARCH("On track to be achieved",G87)))</formula>
    </cfRule>
    <cfRule type="containsText" dxfId="2342" priority="2597" operator="containsText" text="Deferred">
      <formula>NOT(ISERROR(SEARCH("Deferred",G87)))</formula>
    </cfRule>
    <cfRule type="containsText" dxfId="2341" priority="2598" operator="containsText" text="Deleted">
      <formula>NOT(ISERROR(SEARCH("Deleted",G87)))</formula>
    </cfRule>
    <cfRule type="containsText" dxfId="2340" priority="2599" operator="containsText" text="In Danger of Falling Behind Target">
      <formula>NOT(ISERROR(SEARCH("In Danger of Falling Behind Target",G87)))</formula>
    </cfRule>
    <cfRule type="containsText" dxfId="2339" priority="2600" operator="containsText" text="Not yet due">
      <formula>NOT(ISERROR(SEARCH("Not yet due",G87)))</formula>
    </cfRule>
    <cfRule type="containsText" dxfId="2338" priority="2601" operator="containsText" text="Update not Provided">
      <formula>NOT(ISERROR(SEARCH("Update not Provided",G87)))</formula>
    </cfRule>
    <cfRule type="containsText" dxfId="2337" priority="2602" operator="containsText" text="Not yet due">
      <formula>NOT(ISERROR(SEARCH("Not yet due",G87)))</formula>
    </cfRule>
    <cfRule type="containsText" dxfId="2336" priority="2603" operator="containsText" text="Completed Behind Schedule">
      <formula>NOT(ISERROR(SEARCH("Completed Behind Schedule",G87)))</formula>
    </cfRule>
    <cfRule type="containsText" dxfId="2335" priority="2604" operator="containsText" text="Off Target">
      <formula>NOT(ISERROR(SEARCH("Off Target",G87)))</formula>
    </cfRule>
    <cfRule type="containsText" dxfId="2334" priority="2605" operator="containsText" text="On Track to be Achieved">
      <formula>NOT(ISERROR(SEARCH("On Track to be Achieved",G87)))</formula>
    </cfRule>
    <cfRule type="containsText" dxfId="2333" priority="2606" operator="containsText" text="Fully Achieved">
      <formula>NOT(ISERROR(SEARCH("Fully Achieved",G87)))</formula>
    </cfRule>
    <cfRule type="containsText" dxfId="2332" priority="2607" operator="containsText" text="Not yet due">
      <formula>NOT(ISERROR(SEARCH("Not yet due",G87)))</formula>
    </cfRule>
    <cfRule type="containsText" dxfId="2331" priority="2608" operator="containsText" text="Not Yet Due">
      <formula>NOT(ISERROR(SEARCH("Not Yet Due",G87)))</formula>
    </cfRule>
    <cfRule type="containsText" dxfId="2330" priority="2609" operator="containsText" text="Deferred">
      <formula>NOT(ISERROR(SEARCH("Deferred",G87)))</formula>
    </cfRule>
    <cfRule type="containsText" dxfId="2329" priority="2610" operator="containsText" text="Deleted">
      <formula>NOT(ISERROR(SEARCH("Deleted",G87)))</formula>
    </cfRule>
    <cfRule type="containsText" dxfId="2328" priority="2611" operator="containsText" text="In Danger of Falling Behind Target">
      <formula>NOT(ISERROR(SEARCH("In Danger of Falling Behind Target",G87)))</formula>
    </cfRule>
    <cfRule type="containsText" dxfId="2327" priority="2612" operator="containsText" text="Not yet due">
      <formula>NOT(ISERROR(SEARCH("Not yet due",G87)))</formula>
    </cfRule>
    <cfRule type="containsText" dxfId="2326" priority="2613" operator="containsText" text="Completed Behind Schedule">
      <formula>NOT(ISERROR(SEARCH("Completed Behind Schedule",G87)))</formula>
    </cfRule>
    <cfRule type="containsText" dxfId="2325" priority="2614" operator="containsText" text="Off Target">
      <formula>NOT(ISERROR(SEARCH("Off Target",G87)))</formula>
    </cfRule>
    <cfRule type="containsText" dxfId="2324" priority="2615" operator="containsText" text="In Danger of Falling Behind Target">
      <formula>NOT(ISERROR(SEARCH("In Danger of Falling Behind Target",G87)))</formula>
    </cfRule>
    <cfRule type="containsText" dxfId="2323" priority="2616" operator="containsText" text="On Track to be Achieved">
      <formula>NOT(ISERROR(SEARCH("On Track to be Achieved",G87)))</formula>
    </cfRule>
    <cfRule type="containsText" dxfId="2322" priority="2617" operator="containsText" text="Fully Achieved">
      <formula>NOT(ISERROR(SEARCH("Fully Achieved",G87)))</formula>
    </cfRule>
    <cfRule type="containsText" dxfId="2321" priority="2618" operator="containsText" text="Update not Provided">
      <formula>NOT(ISERROR(SEARCH("Update not Provided",G87)))</formula>
    </cfRule>
    <cfRule type="containsText" dxfId="2320" priority="2619" operator="containsText" text="Not yet due">
      <formula>NOT(ISERROR(SEARCH("Not yet due",G87)))</formula>
    </cfRule>
    <cfRule type="containsText" dxfId="2319" priority="2620" operator="containsText" text="Completed Behind Schedule">
      <formula>NOT(ISERROR(SEARCH("Completed Behind Schedule",G87)))</formula>
    </cfRule>
    <cfRule type="containsText" dxfId="2318" priority="2621" operator="containsText" text="Off Target">
      <formula>NOT(ISERROR(SEARCH("Off Target",G87)))</formula>
    </cfRule>
    <cfRule type="containsText" dxfId="2317" priority="2622" operator="containsText" text="In Danger of Falling Behind Target">
      <formula>NOT(ISERROR(SEARCH("In Danger of Falling Behind Target",G87)))</formula>
    </cfRule>
    <cfRule type="containsText" dxfId="2316" priority="2623" operator="containsText" text="On Track to be Achieved">
      <formula>NOT(ISERROR(SEARCH("On Track to be Achieved",G87)))</formula>
    </cfRule>
    <cfRule type="containsText" dxfId="2315" priority="2624" operator="containsText" text="Fully Achieved">
      <formula>NOT(ISERROR(SEARCH("Fully Achieved",G87)))</formula>
    </cfRule>
    <cfRule type="containsText" dxfId="2314" priority="2625" operator="containsText" text="Fully Achieved">
      <formula>NOT(ISERROR(SEARCH("Fully Achieved",G87)))</formula>
    </cfRule>
    <cfRule type="containsText" dxfId="2313" priority="2626" operator="containsText" text="Fully Achieved">
      <formula>NOT(ISERROR(SEARCH("Fully Achieved",G87)))</formula>
    </cfRule>
    <cfRule type="containsText" dxfId="2312" priority="2627" operator="containsText" text="Deferred">
      <formula>NOT(ISERROR(SEARCH("Deferred",G87)))</formula>
    </cfRule>
    <cfRule type="containsText" dxfId="2311" priority="2628" operator="containsText" text="Deleted">
      <formula>NOT(ISERROR(SEARCH("Deleted",G87)))</formula>
    </cfRule>
    <cfRule type="containsText" dxfId="2310" priority="2629" operator="containsText" text="In Danger of Falling Behind Target">
      <formula>NOT(ISERROR(SEARCH("In Danger of Falling Behind Target",G87)))</formula>
    </cfRule>
    <cfRule type="containsText" dxfId="2309" priority="2630" operator="containsText" text="Not yet due">
      <formula>NOT(ISERROR(SEARCH("Not yet due",G87)))</formula>
    </cfRule>
    <cfRule type="containsText" dxfId="2308" priority="2631" operator="containsText" text="Update not Provided">
      <formula>NOT(ISERROR(SEARCH("Update not Provided",G87)))</formula>
    </cfRule>
  </conditionalFormatting>
  <conditionalFormatting sqref="G98">
    <cfRule type="containsText" dxfId="2307" priority="2560" operator="containsText" text="On track to be achieved">
      <formula>NOT(ISERROR(SEARCH("On track to be achieved",G98)))</formula>
    </cfRule>
    <cfRule type="containsText" dxfId="2306" priority="2561" operator="containsText" text="Deferred">
      <formula>NOT(ISERROR(SEARCH("Deferred",G98)))</formula>
    </cfRule>
    <cfRule type="containsText" dxfId="2305" priority="2562" operator="containsText" text="Deleted">
      <formula>NOT(ISERROR(SEARCH("Deleted",G98)))</formula>
    </cfRule>
    <cfRule type="containsText" dxfId="2304" priority="2563" operator="containsText" text="In Danger of Falling Behind Target">
      <formula>NOT(ISERROR(SEARCH("In Danger of Falling Behind Target",G98)))</formula>
    </cfRule>
    <cfRule type="containsText" dxfId="2303" priority="2564" operator="containsText" text="Not yet due">
      <formula>NOT(ISERROR(SEARCH("Not yet due",G98)))</formula>
    </cfRule>
    <cfRule type="containsText" dxfId="2302" priority="2565" operator="containsText" text="Update not Provided">
      <formula>NOT(ISERROR(SEARCH("Update not Provided",G98)))</formula>
    </cfRule>
    <cfRule type="containsText" dxfId="2301" priority="2566" operator="containsText" text="Not yet due">
      <formula>NOT(ISERROR(SEARCH("Not yet due",G98)))</formula>
    </cfRule>
    <cfRule type="containsText" dxfId="2300" priority="2567" operator="containsText" text="Completed Behind Schedule">
      <formula>NOT(ISERROR(SEARCH("Completed Behind Schedule",G98)))</formula>
    </cfRule>
    <cfRule type="containsText" dxfId="2299" priority="2568" operator="containsText" text="Off Target">
      <formula>NOT(ISERROR(SEARCH("Off Target",G98)))</formula>
    </cfRule>
    <cfRule type="containsText" dxfId="2298" priority="2569" operator="containsText" text="On Track to be Achieved">
      <formula>NOT(ISERROR(SEARCH("On Track to be Achieved",G98)))</formula>
    </cfRule>
    <cfRule type="containsText" dxfId="2297" priority="2570" operator="containsText" text="Fully Achieved">
      <formula>NOT(ISERROR(SEARCH("Fully Achieved",G98)))</formula>
    </cfRule>
    <cfRule type="containsText" dxfId="2296" priority="2571" operator="containsText" text="Not yet due">
      <formula>NOT(ISERROR(SEARCH("Not yet due",G98)))</formula>
    </cfRule>
    <cfRule type="containsText" dxfId="2295" priority="2572" operator="containsText" text="Not Yet Due">
      <formula>NOT(ISERROR(SEARCH("Not Yet Due",G98)))</formula>
    </cfRule>
    <cfRule type="containsText" dxfId="2294" priority="2573" operator="containsText" text="Deferred">
      <formula>NOT(ISERROR(SEARCH("Deferred",G98)))</formula>
    </cfRule>
    <cfRule type="containsText" dxfId="2293" priority="2574" operator="containsText" text="Deleted">
      <formula>NOT(ISERROR(SEARCH("Deleted",G98)))</formula>
    </cfRule>
    <cfRule type="containsText" dxfId="2292" priority="2575" operator="containsText" text="In Danger of Falling Behind Target">
      <formula>NOT(ISERROR(SEARCH("In Danger of Falling Behind Target",G98)))</formula>
    </cfRule>
    <cfRule type="containsText" dxfId="2291" priority="2576" operator="containsText" text="Not yet due">
      <formula>NOT(ISERROR(SEARCH("Not yet due",G98)))</formula>
    </cfRule>
    <cfRule type="containsText" dxfId="2290" priority="2577" operator="containsText" text="Completed Behind Schedule">
      <formula>NOT(ISERROR(SEARCH("Completed Behind Schedule",G98)))</formula>
    </cfRule>
    <cfRule type="containsText" dxfId="2289" priority="2578" operator="containsText" text="Off Target">
      <formula>NOT(ISERROR(SEARCH("Off Target",G98)))</formula>
    </cfRule>
    <cfRule type="containsText" dxfId="2288" priority="2579" operator="containsText" text="In Danger of Falling Behind Target">
      <formula>NOT(ISERROR(SEARCH("In Danger of Falling Behind Target",G98)))</formula>
    </cfRule>
    <cfRule type="containsText" dxfId="2287" priority="2580" operator="containsText" text="On Track to be Achieved">
      <formula>NOT(ISERROR(SEARCH("On Track to be Achieved",G98)))</formula>
    </cfRule>
    <cfRule type="containsText" dxfId="2286" priority="2581" operator="containsText" text="Fully Achieved">
      <formula>NOT(ISERROR(SEARCH("Fully Achieved",G98)))</formula>
    </cfRule>
    <cfRule type="containsText" dxfId="2285" priority="2582" operator="containsText" text="Update not Provided">
      <formula>NOT(ISERROR(SEARCH("Update not Provided",G98)))</formula>
    </cfRule>
    <cfRule type="containsText" dxfId="2284" priority="2583" operator="containsText" text="Not yet due">
      <formula>NOT(ISERROR(SEARCH("Not yet due",G98)))</formula>
    </cfRule>
    <cfRule type="containsText" dxfId="2283" priority="2584" operator="containsText" text="Completed Behind Schedule">
      <formula>NOT(ISERROR(SEARCH("Completed Behind Schedule",G98)))</formula>
    </cfRule>
    <cfRule type="containsText" dxfId="2282" priority="2585" operator="containsText" text="Off Target">
      <formula>NOT(ISERROR(SEARCH("Off Target",G98)))</formula>
    </cfRule>
    <cfRule type="containsText" dxfId="2281" priority="2586" operator="containsText" text="In Danger of Falling Behind Target">
      <formula>NOT(ISERROR(SEARCH("In Danger of Falling Behind Target",G98)))</formula>
    </cfRule>
    <cfRule type="containsText" dxfId="2280" priority="2587" operator="containsText" text="On Track to be Achieved">
      <formula>NOT(ISERROR(SEARCH("On Track to be Achieved",G98)))</formula>
    </cfRule>
    <cfRule type="containsText" dxfId="2279" priority="2588" operator="containsText" text="Fully Achieved">
      <formula>NOT(ISERROR(SEARCH("Fully Achieved",G98)))</formula>
    </cfRule>
    <cfRule type="containsText" dxfId="2278" priority="2589" operator="containsText" text="Fully Achieved">
      <formula>NOT(ISERROR(SEARCH("Fully Achieved",G98)))</formula>
    </cfRule>
    <cfRule type="containsText" dxfId="2277" priority="2590" operator="containsText" text="Fully Achieved">
      <formula>NOT(ISERROR(SEARCH("Fully Achieved",G98)))</formula>
    </cfRule>
    <cfRule type="containsText" dxfId="2276" priority="2591" operator="containsText" text="Deferred">
      <formula>NOT(ISERROR(SEARCH("Deferred",G98)))</formula>
    </cfRule>
    <cfRule type="containsText" dxfId="2275" priority="2592" operator="containsText" text="Deleted">
      <formula>NOT(ISERROR(SEARCH("Deleted",G98)))</formula>
    </cfRule>
    <cfRule type="containsText" dxfId="2274" priority="2593" operator="containsText" text="In Danger of Falling Behind Target">
      <formula>NOT(ISERROR(SEARCH("In Danger of Falling Behind Target",G98)))</formula>
    </cfRule>
    <cfRule type="containsText" dxfId="2273" priority="2594" operator="containsText" text="Not yet due">
      <formula>NOT(ISERROR(SEARCH("Not yet due",G98)))</formula>
    </cfRule>
    <cfRule type="containsText" dxfId="2272" priority="2595" operator="containsText" text="Update not Provided">
      <formula>NOT(ISERROR(SEARCH("Update not Provided",G98)))</formula>
    </cfRule>
  </conditionalFormatting>
  <conditionalFormatting sqref="G98">
    <cfRule type="containsText" dxfId="2271" priority="2524" operator="containsText" text="On track to be achieved">
      <formula>NOT(ISERROR(SEARCH("On track to be achieved",G98)))</formula>
    </cfRule>
    <cfRule type="containsText" dxfId="2270" priority="2525" operator="containsText" text="Deferred">
      <formula>NOT(ISERROR(SEARCH("Deferred",G98)))</formula>
    </cfRule>
    <cfRule type="containsText" dxfId="2269" priority="2526" operator="containsText" text="Deleted">
      <formula>NOT(ISERROR(SEARCH("Deleted",G98)))</formula>
    </cfRule>
    <cfRule type="containsText" dxfId="2268" priority="2527" operator="containsText" text="In Danger of Falling Behind Target">
      <formula>NOT(ISERROR(SEARCH("In Danger of Falling Behind Target",G98)))</formula>
    </cfRule>
    <cfRule type="containsText" dxfId="2267" priority="2528" operator="containsText" text="Not yet due">
      <formula>NOT(ISERROR(SEARCH("Not yet due",G98)))</formula>
    </cfRule>
    <cfRule type="containsText" dxfId="2266" priority="2529" operator="containsText" text="Update not Provided">
      <formula>NOT(ISERROR(SEARCH("Update not Provided",G98)))</formula>
    </cfRule>
    <cfRule type="containsText" dxfId="2265" priority="2530" operator="containsText" text="Not yet due">
      <formula>NOT(ISERROR(SEARCH("Not yet due",G98)))</formula>
    </cfRule>
    <cfRule type="containsText" dxfId="2264" priority="2531" operator="containsText" text="Completed Behind Schedule">
      <formula>NOT(ISERROR(SEARCH("Completed Behind Schedule",G98)))</formula>
    </cfRule>
    <cfRule type="containsText" dxfId="2263" priority="2532" operator="containsText" text="Off Target">
      <formula>NOT(ISERROR(SEARCH("Off Target",G98)))</formula>
    </cfRule>
    <cfRule type="containsText" dxfId="2262" priority="2533" operator="containsText" text="On Track to be Achieved">
      <formula>NOT(ISERROR(SEARCH("On Track to be Achieved",G98)))</formula>
    </cfRule>
    <cfRule type="containsText" dxfId="2261" priority="2534" operator="containsText" text="Fully Achieved">
      <formula>NOT(ISERROR(SEARCH("Fully Achieved",G98)))</formula>
    </cfRule>
    <cfRule type="containsText" dxfId="2260" priority="2535" operator="containsText" text="Not yet due">
      <formula>NOT(ISERROR(SEARCH("Not yet due",G98)))</formula>
    </cfRule>
    <cfRule type="containsText" dxfId="2259" priority="2536" operator="containsText" text="Not Yet Due">
      <formula>NOT(ISERROR(SEARCH("Not Yet Due",G98)))</formula>
    </cfRule>
    <cfRule type="containsText" dxfId="2258" priority="2537" operator="containsText" text="Deferred">
      <formula>NOT(ISERROR(SEARCH("Deferred",G98)))</formula>
    </cfRule>
    <cfRule type="containsText" dxfId="2257" priority="2538" operator="containsText" text="Deleted">
      <formula>NOT(ISERROR(SEARCH("Deleted",G98)))</formula>
    </cfRule>
    <cfRule type="containsText" dxfId="2256" priority="2539" operator="containsText" text="In Danger of Falling Behind Target">
      <formula>NOT(ISERROR(SEARCH("In Danger of Falling Behind Target",G98)))</formula>
    </cfRule>
    <cfRule type="containsText" dxfId="2255" priority="2540" operator="containsText" text="Not yet due">
      <formula>NOT(ISERROR(SEARCH("Not yet due",G98)))</formula>
    </cfRule>
    <cfRule type="containsText" dxfId="2254" priority="2541" operator="containsText" text="Completed Behind Schedule">
      <formula>NOT(ISERROR(SEARCH("Completed Behind Schedule",G98)))</formula>
    </cfRule>
    <cfRule type="containsText" dxfId="2253" priority="2542" operator="containsText" text="Off Target">
      <formula>NOT(ISERROR(SEARCH("Off Target",G98)))</formula>
    </cfRule>
    <cfRule type="containsText" dxfId="2252" priority="2543" operator="containsText" text="In Danger of Falling Behind Target">
      <formula>NOT(ISERROR(SEARCH("In Danger of Falling Behind Target",G98)))</formula>
    </cfRule>
    <cfRule type="containsText" dxfId="2251" priority="2544" operator="containsText" text="On Track to be Achieved">
      <formula>NOT(ISERROR(SEARCH("On Track to be Achieved",G98)))</formula>
    </cfRule>
    <cfRule type="containsText" dxfId="2250" priority="2545" operator="containsText" text="Fully Achieved">
      <formula>NOT(ISERROR(SEARCH("Fully Achieved",G98)))</formula>
    </cfRule>
    <cfRule type="containsText" dxfId="2249" priority="2546" operator="containsText" text="Update not Provided">
      <formula>NOT(ISERROR(SEARCH("Update not Provided",G98)))</formula>
    </cfRule>
    <cfRule type="containsText" dxfId="2248" priority="2547" operator="containsText" text="Not yet due">
      <formula>NOT(ISERROR(SEARCH("Not yet due",G98)))</formula>
    </cfRule>
    <cfRule type="containsText" dxfId="2247" priority="2548" operator="containsText" text="Completed Behind Schedule">
      <formula>NOT(ISERROR(SEARCH("Completed Behind Schedule",G98)))</formula>
    </cfRule>
    <cfRule type="containsText" dxfId="2246" priority="2549" operator="containsText" text="Off Target">
      <formula>NOT(ISERROR(SEARCH("Off Target",G98)))</formula>
    </cfRule>
    <cfRule type="containsText" dxfId="2245" priority="2550" operator="containsText" text="In Danger of Falling Behind Target">
      <formula>NOT(ISERROR(SEARCH("In Danger of Falling Behind Target",G98)))</formula>
    </cfRule>
    <cfRule type="containsText" dxfId="2244" priority="2551" operator="containsText" text="On Track to be Achieved">
      <formula>NOT(ISERROR(SEARCH("On Track to be Achieved",G98)))</formula>
    </cfRule>
    <cfRule type="containsText" dxfId="2243" priority="2552" operator="containsText" text="Fully Achieved">
      <formula>NOT(ISERROR(SEARCH("Fully Achieved",G98)))</formula>
    </cfRule>
    <cfRule type="containsText" dxfId="2242" priority="2553" operator="containsText" text="Fully Achieved">
      <formula>NOT(ISERROR(SEARCH("Fully Achieved",G98)))</formula>
    </cfRule>
    <cfRule type="containsText" dxfId="2241" priority="2554" operator="containsText" text="Fully Achieved">
      <formula>NOT(ISERROR(SEARCH("Fully Achieved",G98)))</formula>
    </cfRule>
    <cfRule type="containsText" dxfId="2240" priority="2555" operator="containsText" text="Deferred">
      <formula>NOT(ISERROR(SEARCH("Deferred",G98)))</formula>
    </cfRule>
    <cfRule type="containsText" dxfId="2239" priority="2556" operator="containsText" text="Deleted">
      <formula>NOT(ISERROR(SEARCH("Deleted",G98)))</formula>
    </cfRule>
    <cfRule type="containsText" dxfId="2238" priority="2557" operator="containsText" text="In Danger of Falling Behind Target">
      <formula>NOT(ISERROR(SEARCH("In Danger of Falling Behind Target",G98)))</formula>
    </cfRule>
    <cfRule type="containsText" dxfId="2237" priority="2558" operator="containsText" text="Not yet due">
      <formula>NOT(ISERROR(SEARCH("Not yet due",G98)))</formula>
    </cfRule>
    <cfRule type="containsText" dxfId="2236" priority="2559" operator="containsText" text="Update not Provided">
      <formula>NOT(ISERROR(SEARCH("Update not Provided",G98)))</formula>
    </cfRule>
  </conditionalFormatting>
  <conditionalFormatting sqref="G100:G110">
    <cfRule type="containsText" dxfId="2235" priority="2488" operator="containsText" text="On track to be achieved">
      <formula>NOT(ISERROR(SEARCH("On track to be achieved",G100)))</formula>
    </cfRule>
    <cfRule type="containsText" dxfId="2234" priority="2489" operator="containsText" text="Deferred">
      <formula>NOT(ISERROR(SEARCH("Deferred",G100)))</formula>
    </cfRule>
    <cfRule type="containsText" dxfId="2233" priority="2490" operator="containsText" text="Deleted">
      <formula>NOT(ISERROR(SEARCH("Deleted",G100)))</formula>
    </cfRule>
    <cfRule type="containsText" dxfId="2232" priority="2491" operator="containsText" text="In Danger of Falling Behind Target">
      <formula>NOT(ISERROR(SEARCH("In Danger of Falling Behind Target",G100)))</formula>
    </cfRule>
    <cfRule type="containsText" dxfId="2231" priority="2492" operator="containsText" text="Not yet due">
      <formula>NOT(ISERROR(SEARCH("Not yet due",G100)))</formula>
    </cfRule>
    <cfRule type="containsText" dxfId="2230" priority="2493" operator="containsText" text="Update not Provided">
      <formula>NOT(ISERROR(SEARCH("Update not Provided",G100)))</formula>
    </cfRule>
    <cfRule type="containsText" dxfId="2229" priority="2494" operator="containsText" text="Not yet due">
      <formula>NOT(ISERROR(SEARCH("Not yet due",G100)))</formula>
    </cfRule>
    <cfRule type="containsText" dxfId="2228" priority="2495" operator="containsText" text="Completed Behind Schedule">
      <formula>NOT(ISERROR(SEARCH("Completed Behind Schedule",G100)))</formula>
    </cfRule>
    <cfRule type="containsText" dxfId="2227" priority="2496" operator="containsText" text="Off Target">
      <formula>NOT(ISERROR(SEARCH("Off Target",G100)))</formula>
    </cfRule>
    <cfRule type="containsText" dxfId="2226" priority="2497" operator="containsText" text="On Track to be Achieved">
      <formula>NOT(ISERROR(SEARCH("On Track to be Achieved",G100)))</formula>
    </cfRule>
    <cfRule type="containsText" dxfId="2225" priority="2498" operator="containsText" text="Fully Achieved">
      <formula>NOT(ISERROR(SEARCH("Fully Achieved",G100)))</formula>
    </cfRule>
    <cfRule type="containsText" dxfId="2224" priority="2499" operator="containsText" text="Not yet due">
      <formula>NOT(ISERROR(SEARCH("Not yet due",G100)))</formula>
    </cfRule>
    <cfRule type="containsText" dxfId="2223" priority="2500" operator="containsText" text="Not Yet Due">
      <formula>NOT(ISERROR(SEARCH("Not Yet Due",G100)))</formula>
    </cfRule>
    <cfRule type="containsText" dxfId="2222" priority="2501" operator="containsText" text="Deferred">
      <formula>NOT(ISERROR(SEARCH("Deferred",G100)))</formula>
    </cfRule>
    <cfRule type="containsText" dxfId="2221" priority="2502" operator="containsText" text="Deleted">
      <formula>NOT(ISERROR(SEARCH("Deleted",G100)))</formula>
    </cfRule>
    <cfRule type="containsText" dxfId="2220" priority="2503" operator="containsText" text="In Danger of Falling Behind Target">
      <formula>NOT(ISERROR(SEARCH("In Danger of Falling Behind Target",G100)))</formula>
    </cfRule>
    <cfRule type="containsText" dxfId="2219" priority="2504" operator="containsText" text="Not yet due">
      <formula>NOT(ISERROR(SEARCH("Not yet due",G100)))</formula>
    </cfRule>
    <cfRule type="containsText" dxfId="2218" priority="2505" operator="containsText" text="Completed Behind Schedule">
      <formula>NOT(ISERROR(SEARCH("Completed Behind Schedule",G100)))</formula>
    </cfRule>
    <cfRule type="containsText" dxfId="2217" priority="2506" operator="containsText" text="Off Target">
      <formula>NOT(ISERROR(SEARCH("Off Target",G100)))</formula>
    </cfRule>
    <cfRule type="containsText" dxfId="2216" priority="2507" operator="containsText" text="In Danger of Falling Behind Target">
      <formula>NOT(ISERROR(SEARCH("In Danger of Falling Behind Target",G100)))</formula>
    </cfRule>
    <cfRule type="containsText" dxfId="2215" priority="2508" operator="containsText" text="On Track to be Achieved">
      <formula>NOT(ISERROR(SEARCH("On Track to be Achieved",G100)))</formula>
    </cfRule>
    <cfRule type="containsText" dxfId="2214" priority="2509" operator="containsText" text="Fully Achieved">
      <formula>NOT(ISERROR(SEARCH("Fully Achieved",G100)))</formula>
    </cfRule>
    <cfRule type="containsText" dxfId="2213" priority="2510" operator="containsText" text="Update not Provided">
      <formula>NOT(ISERROR(SEARCH("Update not Provided",G100)))</formula>
    </cfRule>
    <cfRule type="containsText" dxfId="2212" priority="2511" operator="containsText" text="Not yet due">
      <formula>NOT(ISERROR(SEARCH("Not yet due",G100)))</formula>
    </cfRule>
    <cfRule type="containsText" dxfId="2211" priority="2512" operator="containsText" text="Completed Behind Schedule">
      <formula>NOT(ISERROR(SEARCH("Completed Behind Schedule",G100)))</formula>
    </cfRule>
    <cfRule type="containsText" dxfId="2210" priority="2513" operator="containsText" text="Off Target">
      <formula>NOT(ISERROR(SEARCH("Off Target",G100)))</formula>
    </cfRule>
    <cfRule type="containsText" dxfId="2209" priority="2514" operator="containsText" text="In Danger of Falling Behind Target">
      <formula>NOT(ISERROR(SEARCH("In Danger of Falling Behind Target",G100)))</formula>
    </cfRule>
    <cfRule type="containsText" dxfId="2208" priority="2515" operator="containsText" text="On Track to be Achieved">
      <formula>NOT(ISERROR(SEARCH("On Track to be Achieved",G100)))</formula>
    </cfRule>
    <cfRule type="containsText" dxfId="2207" priority="2516" operator="containsText" text="Fully Achieved">
      <formula>NOT(ISERROR(SEARCH("Fully Achieved",G100)))</formula>
    </cfRule>
    <cfRule type="containsText" dxfId="2206" priority="2517" operator="containsText" text="Fully Achieved">
      <formula>NOT(ISERROR(SEARCH("Fully Achieved",G100)))</formula>
    </cfRule>
    <cfRule type="containsText" dxfId="2205" priority="2518" operator="containsText" text="Fully Achieved">
      <formula>NOT(ISERROR(SEARCH("Fully Achieved",G100)))</formula>
    </cfRule>
    <cfRule type="containsText" dxfId="2204" priority="2519" operator="containsText" text="Deferred">
      <formula>NOT(ISERROR(SEARCH("Deferred",G100)))</formula>
    </cfRule>
    <cfRule type="containsText" dxfId="2203" priority="2520" operator="containsText" text="Deleted">
      <formula>NOT(ISERROR(SEARCH("Deleted",G100)))</formula>
    </cfRule>
    <cfRule type="containsText" dxfId="2202" priority="2521" operator="containsText" text="In Danger of Falling Behind Target">
      <formula>NOT(ISERROR(SEARCH("In Danger of Falling Behind Target",G100)))</formula>
    </cfRule>
    <cfRule type="containsText" dxfId="2201" priority="2522" operator="containsText" text="Not yet due">
      <formula>NOT(ISERROR(SEARCH("Not yet due",G100)))</formula>
    </cfRule>
    <cfRule type="containsText" dxfId="2200" priority="2523" operator="containsText" text="Update not Provided">
      <formula>NOT(ISERROR(SEARCH("Update not Provided",G100)))</formula>
    </cfRule>
  </conditionalFormatting>
  <conditionalFormatting sqref="I3:I11">
    <cfRule type="containsText" dxfId="2199" priority="2380" operator="containsText" text="On track to be achieved">
      <formula>NOT(ISERROR(SEARCH("On track to be achieved",I3)))</formula>
    </cfRule>
    <cfRule type="containsText" dxfId="2198" priority="2381" operator="containsText" text="Deferred">
      <formula>NOT(ISERROR(SEARCH("Deferred",I3)))</formula>
    </cfRule>
    <cfRule type="containsText" dxfId="2197" priority="2382" operator="containsText" text="Deleted">
      <formula>NOT(ISERROR(SEARCH("Deleted",I3)))</formula>
    </cfRule>
    <cfRule type="containsText" dxfId="2196" priority="2383" operator="containsText" text="In Danger of Falling Behind Target">
      <formula>NOT(ISERROR(SEARCH("In Danger of Falling Behind Target",I3)))</formula>
    </cfRule>
    <cfRule type="containsText" dxfId="2195" priority="2384" operator="containsText" text="Not yet due">
      <formula>NOT(ISERROR(SEARCH("Not yet due",I3)))</formula>
    </cfRule>
    <cfRule type="containsText" dxfId="2194" priority="2385" operator="containsText" text="Update not Provided">
      <formula>NOT(ISERROR(SEARCH("Update not Provided",I3)))</formula>
    </cfRule>
    <cfRule type="containsText" dxfId="2193" priority="2386" operator="containsText" text="Not yet due">
      <formula>NOT(ISERROR(SEARCH("Not yet due",I3)))</formula>
    </cfRule>
    <cfRule type="containsText" dxfId="2192" priority="2387" operator="containsText" text="Completed Behind Schedule">
      <formula>NOT(ISERROR(SEARCH("Completed Behind Schedule",I3)))</formula>
    </cfRule>
    <cfRule type="containsText" dxfId="2191" priority="2388" operator="containsText" text="Off Target">
      <formula>NOT(ISERROR(SEARCH("Off Target",I3)))</formula>
    </cfRule>
    <cfRule type="containsText" dxfId="2190" priority="2389" operator="containsText" text="On Track to be Achieved">
      <formula>NOT(ISERROR(SEARCH("On Track to be Achieved",I3)))</formula>
    </cfRule>
    <cfRule type="containsText" dxfId="2189" priority="2390" operator="containsText" text="Fully Achieved">
      <formula>NOT(ISERROR(SEARCH("Fully Achieved",I3)))</formula>
    </cfRule>
    <cfRule type="containsText" dxfId="2188" priority="2391" operator="containsText" text="Not yet due">
      <formula>NOT(ISERROR(SEARCH("Not yet due",I3)))</formula>
    </cfRule>
    <cfRule type="containsText" dxfId="2187" priority="2392" operator="containsText" text="Not Yet Due">
      <formula>NOT(ISERROR(SEARCH("Not Yet Due",I3)))</formula>
    </cfRule>
    <cfRule type="containsText" dxfId="2186" priority="2393" operator="containsText" text="Deferred">
      <formula>NOT(ISERROR(SEARCH("Deferred",I3)))</formula>
    </cfRule>
    <cfRule type="containsText" dxfId="2185" priority="2394" operator="containsText" text="Deleted">
      <formula>NOT(ISERROR(SEARCH("Deleted",I3)))</formula>
    </cfRule>
    <cfRule type="containsText" dxfId="2184" priority="2395" operator="containsText" text="In Danger of Falling Behind Target">
      <formula>NOT(ISERROR(SEARCH("In Danger of Falling Behind Target",I3)))</formula>
    </cfRule>
    <cfRule type="containsText" dxfId="2183" priority="2396" operator="containsText" text="Not yet due">
      <formula>NOT(ISERROR(SEARCH("Not yet due",I3)))</formula>
    </cfRule>
    <cfRule type="containsText" dxfId="2182" priority="2397" operator="containsText" text="Completed Behind Schedule">
      <formula>NOT(ISERROR(SEARCH("Completed Behind Schedule",I3)))</formula>
    </cfRule>
    <cfRule type="containsText" dxfId="2181" priority="2398" operator="containsText" text="Off Target">
      <formula>NOT(ISERROR(SEARCH("Off Target",I3)))</formula>
    </cfRule>
    <cfRule type="containsText" dxfId="2180" priority="2399" operator="containsText" text="In Danger of Falling Behind Target">
      <formula>NOT(ISERROR(SEARCH("In Danger of Falling Behind Target",I3)))</formula>
    </cfRule>
    <cfRule type="containsText" dxfId="2179" priority="2400" operator="containsText" text="On Track to be Achieved">
      <formula>NOT(ISERROR(SEARCH("On Track to be Achieved",I3)))</formula>
    </cfRule>
    <cfRule type="containsText" dxfId="2178" priority="2401" operator="containsText" text="Fully Achieved">
      <formula>NOT(ISERROR(SEARCH("Fully Achieved",I3)))</formula>
    </cfRule>
    <cfRule type="containsText" dxfId="2177" priority="2402" operator="containsText" text="Update not Provided">
      <formula>NOT(ISERROR(SEARCH("Update not Provided",I3)))</formula>
    </cfRule>
    <cfRule type="containsText" dxfId="2176" priority="2403" operator="containsText" text="Not yet due">
      <formula>NOT(ISERROR(SEARCH("Not yet due",I3)))</formula>
    </cfRule>
    <cfRule type="containsText" dxfId="2175" priority="2404" operator="containsText" text="Completed Behind Schedule">
      <formula>NOT(ISERROR(SEARCH("Completed Behind Schedule",I3)))</formula>
    </cfRule>
    <cfRule type="containsText" dxfId="2174" priority="2405" operator="containsText" text="Off Target">
      <formula>NOT(ISERROR(SEARCH("Off Target",I3)))</formula>
    </cfRule>
    <cfRule type="containsText" dxfId="2173" priority="2406" operator="containsText" text="In Danger of Falling Behind Target">
      <formula>NOT(ISERROR(SEARCH("In Danger of Falling Behind Target",I3)))</formula>
    </cfRule>
    <cfRule type="containsText" dxfId="2172" priority="2407" operator="containsText" text="On Track to be Achieved">
      <formula>NOT(ISERROR(SEARCH("On Track to be Achieved",I3)))</formula>
    </cfRule>
    <cfRule type="containsText" dxfId="2171" priority="2408" operator="containsText" text="Fully Achieved">
      <formula>NOT(ISERROR(SEARCH("Fully Achieved",I3)))</formula>
    </cfRule>
    <cfRule type="containsText" dxfId="2170" priority="2409" operator="containsText" text="Fully Achieved">
      <formula>NOT(ISERROR(SEARCH("Fully Achieved",I3)))</formula>
    </cfRule>
    <cfRule type="containsText" dxfId="2169" priority="2410" operator="containsText" text="Fully Achieved">
      <formula>NOT(ISERROR(SEARCH("Fully Achieved",I3)))</formula>
    </cfRule>
    <cfRule type="containsText" dxfId="2168" priority="2411" operator="containsText" text="Deferred">
      <formula>NOT(ISERROR(SEARCH("Deferred",I3)))</formula>
    </cfRule>
    <cfRule type="containsText" dxfId="2167" priority="2412" operator="containsText" text="Deleted">
      <formula>NOT(ISERROR(SEARCH("Deleted",I3)))</formula>
    </cfRule>
    <cfRule type="containsText" dxfId="2166" priority="2413" operator="containsText" text="In Danger of Falling Behind Target">
      <formula>NOT(ISERROR(SEARCH("In Danger of Falling Behind Target",I3)))</formula>
    </cfRule>
    <cfRule type="containsText" dxfId="2165" priority="2414" operator="containsText" text="Not yet due">
      <formula>NOT(ISERROR(SEARCH("Not yet due",I3)))</formula>
    </cfRule>
    <cfRule type="containsText" dxfId="2164" priority="2415" operator="containsText" text="Update not Provided">
      <formula>NOT(ISERROR(SEARCH("Update not Provided",I3)))</formula>
    </cfRule>
  </conditionalFormatting>
  <conditionalFormatting sqref="I13:I30">
    <cfRule type="containsText" dxfId="2163" priority="2344" operator="containsText" text="On track to be achieved">
      <formula>NOT(ISERROR(SEARCH("On track to be achieved",I13)))</formula>
    </cfRule>
    <cfRule type="containsText" dxfId="2162" priority="2345" operator="containsText" text="Deferred">
      <formula>NOT(ISERROR(SEARCH("Deferred",I13)))</formula>
    </cfRule>
    <cfRule type="containsText" dxfId="2161" priority="2346" operator="containsText" text="Deleted">
      <formula>NOT(ISERROR(SEARCH("Deleted",I13)))</formula>
    </cfRule>
    <cfRule type="containsText" dxfId="2160" priority="2347" operator="containsText" text="In Danger of Falling Behind Target">
      <formula>NOT(ISERROR(SEARCH("In Danger of Falling Behind Target",I13)))</formula>
    </cfRule>
    <cfRule type="containsText" dxfId="2159" priority="2348" operator="containsText" text="Not yet due">
      <formula>NOT(ISERROR(SEARCH("Not yet due",I13)))</formula>
    </cfRule>
    <cfRule type="containsText" dxfId="2158" priority="2349" operator="containsText" text="Update not Provided">
      <formula>NOT(ISERROR(SEARCH("Update not Provided",I13)))</formula>
    </cfRule>
    <cfRule type="containsText" dxfId="2157" priority="2350" operator="containsText" text="Not yet due">
      <formula>NOT(ISERROR(SEARCH("Not yet due",I13)))</formula>
    </cfRule>
    <cfRule type="containsText" dxfId="2156" priority="2351" operator="containsText" text="Completed Behind Schedule">
      <formula>NOT(ISERROR(SEARCH("Completed Behind Schedule",I13)))</formula>
    </cfRule>
    <cfRule type="containsText" dxfId="2155" priority="2352" operator="containsText" text="Off Target">
      <formula>NOT(ISERROR(SEARCH("Off Target",I13)))</formula>
    </cfRule>
    <cfRule type="containsText" dxfId="2154" priority="2353" operator="containsText" text="On Track to be Achieved">
      <formula>NOT(ISERROR(SEARCH("On Track to be Achieved",I13)))</formula>
    </cfRule>
    <cfRule type="containsText" dxfId="2153" priority="2354" operator="containsText" text="Fully Achieved">
      <formula>NOT(ISERROR(SEARCH("Fully Achieved",I13)))</formula>
    </cfRule>
    <cfRule type="containsText" dxfId="2152" priority="2355" operator="containsText" text="Not yet due">
      <formula>NOT(ISERROR(SEARCH("Not yet due",I13)))</formula>
    </cfRule>
    <cfRule type="containsText" dxfId="2151" priority="2356" operator="containsText" text="Not Yet Due">
      <formula>NOT(ISERROR(SEARCH("Not Yet Due",I13)))</formula>
    </cfRule>
    <cfRule type="containsText" dxfId="2150" priority="2357" operator="containsText" text="Deferred">
      <formula>NOT(ISERROR(SEARCH("Deferred",I13)))</formula>
    </cfRule>
    <cfRule type="containsText" dxfId="2149" priority="2358" operator="containsText" text="Deleted">
      <formula>NOT(ISERROR(SEARCH("Deleted",I13)))</formula>
    </cfRule>
    <cfRule type="containsText" dxfId="2148" priority="2359" operator="containsText" text="In Danger of Falling Behind Target">
      <formula>NOT(ISERROR(SEARCH("In Danger of Falling Behind Target",I13)))</formula>
    </cfRule>
    <cfRule type="containsText" dxfId="2147" priority="2360" operator="containsText" text="Not yet due">
      <formula>NOT(ISERROR(SEARCH("Not yet due",I13)))</formula>
    </cfRule>
    <cfRule type="containsText" dxfId="2146" priority="2361" operator="containsText" text="Completed Behind Schedule">
      <formula>NOT(ISERROR(SEARCH("Completed Behind Schedule",I13)))</formula>
    </cfRule>
    <cfRule type="containsText" dxfId="2145" priority="2362" operator="containsText" text="Off Target">
      <formula>NOT(ISERROR(SEARCH("Off Target",I13)))</formula>
    </cfRule>
    <cfRule type="containsText" dxfId="2144" priority="2363" operator="containsText" text="In Danger of Falling Behind Target">
      <formula>NOT(ISERROR(SEARCH("In Danger of Falling Behind Target",I13)))</formula>
    </cfRule>
    <cfRule type="containsText" dxfId="2143" priority="2364" operator="containsText" text="On Track to be Achieved">
      <formula>NOT(ISERROR(SEARCH("On Track to be Achieved",I13)))</formula>
    </cfRule>
    <cfRule type="containsText" dxfId="2142" priority="2365" operator="containsText" text="Fully Achieved">
      <formula>NOT(ISERROR(SEARCH("Fully Achieved",I13)))</formula>
    </cfRule>
    <cfRule type="containsText" dxfId="2141" priority="2366" operator="containsText" text="Update not Provided">
      <formula>NOT(ISERROR(SEARCH("Update not Provided",I13)))</formula>
    </cfRule>
    <cfRule type="containsText" dxfId="2140" priority="2367" operator="containsText" text="Not yet due">
      <formula>NOT(ISERROR(SEARCH("Not yet due",I13)))</formula>
    </cfRule>
    <cfRule type="containsText" dxfId="2139" priority="2368" operator="containsText" text="Completed Behind Schedule">
      <formula>NOT(ISERROR(SEARCH("Completed Behind Schedule",I13)))</formula>
    </cfRule>
    <cfRule type="containsText" dxfId="2138" priority="2369" operator="containsText" text="Off Target">
      <formula>NOT(ISERROR(SEARCH("Off Target",I13)))</formula>
    </cfRule>
    <cfRule type="containsText" dxfId="2137" priority="2370" operator="containsText" text="In Danger of Falling Behind Target">
      <formula>NOT(ISERROR(SEARCH("In Danger of Falling Behind Target",I13)))</formula>
    </cfRule>
    <cfRule type="containsText" dxfId="2136" priority="2371" operator="containsText" text="On Track to be Achieved">
      <formula>NOT(ISERROR(SEARCH("On Track to be Achieved",I13)))</formula>
    </cfRule>
    <cfRule type="containsText" dxfId="2135" priority="2372" operator="containsText" text="Fully Achieved">
      <formula>NOT(ISERROR(SEARCH("Fully Achieved",I13)))</formula>
    </cfRule>
    <cfRule type="containsText" dxfId="2134" priority="2373" operator="containsText" text="Fully Achieved">
      <formula>NOT(ISERROR(SEARCH("Fully Achieved",I13)))</formula>
    </cfRule>
    <cfRule type="containsText" dxfId="2133" priority="2374" operator="containsText" text="Fully Achieved">
      <formula>NOT(ISERROR(SEARCH("Fully Achieved",I13)))</formula>
    </cfRule>
    <cfRule type="containsText" dxfId="2132" priority="2375" operator="containsText" text="Deferred">
      <formula>NOT(ISERROR(SEARCH("Deferred",I13)))</formula>
    </cfRule>
    <cfRule type="containsText" dxfId="2131" priority="2376" operator="containsText" text="Deleted">
      <formula>NOT(ISERROR(SEARCH("Deleted",I13)))</formula>
    </cfRule>
    <cfRule type="containsText" dxfId="2130" priority="2377" operator="containsText" text="In Danger of Falling Behind Target">
      <formula>NOT(ISERROR(SEARCH("In Danger of Falling Behind Target",I13)))</formula>
    </cfRule>
    <cfRule type="containsText" dxfId="2129" priority="2378" operator="containsText" text="Not yet due">
      <formula>NOT(ISERROR(SEARCH("Not yet due",I13)))</formula>
    </cfRule>
    <cfRule type="containsText" dxfId="2128" priority="2379" operator="containsText" text="Update not Provided">
      <formula>NOT(ISERROR(SEARCH("Update not Provided",I13)))</formula>
    </cfRule>
  </conditionalFormatting>
  <conditionalFormatting sqref="I31:I41">
    <cfRule type="containsText" dxfId="2127" priority="2308" operator="containsText" text="On track to be achieved">
      <formula>NOT(ISERROR(SEARCH("On track to be achieved",I31)))</formula>
    </cfRule>
    <cfRule type="containsText" dxfId="2126" priority="2309" operator="containsText" text="Deferred">
      <formula>NOT(ISERROR(SEARCH("Deferred",I31)))</formula>
    </cfRule>
    <cfRule type="containsText" dxfId="2125" priority="2310" operator="containsText" text="Deleted">
      <formula>NOT(ISERROR(SEARCH("Deleted",I31)))</formula>
    </cfRule>
    <cfRule type="containsText" dxfId="2124" priority="2311" operator="containsText" text="In Danger of Falling Behind Target">
      <formula>NOT(ISERROR(SEARCH("In Danger of Falling Behind Target",I31)))</formula>
    </cfRule>
    <cfRule type="containsText" dxfId="2123" priority="2312" operator="containsText" text="Not yet due">
      <formula>NOT(ISERROR(SEARCH("Not yet due",I31)))</formula>
    </cfRule>
    <cfRule type="containsText" dxfId="2122" priority="2313" operator="containsText" text="Update not Provided">
      <formula>NOT(ISERROR(SEARCH("Update not Provided",I31)))</formula>
    </cfRule>
    <cfRule type="containsText" dxfId="2121" priority="2314" operator="containsText" text="Not yet due">
      <formula>NOT(ISERROR(SEARCH("Not yet due",I31)))</formula>
    </cfRule>
    <cfRule type="containsText" dxfId="2120" priority="2315" operator="containsText" text="Completed Behind Schedule">
      <formula>NOT(ISERROR(SEARCH("Completed Behind Schedule",I31)))</formula>
    </cfRule>
    <cfRule type="containsText" dxfId="2119" priority="2316" operator="containsText" text="Off Target">
      <formula>NOT(ISERROR(SEARCH("Off Target",I31)))</formula>
    </cfRule>
    <cfRule type="containsText" dxfId="2118" priority="2317" operator="containsText" text="On Track to be Achieved">
      <formula>NOT(ISERROR(SEARCH("On Track to be Achieved",I31)))</formula>
    </cfRule>
    <cfRule type="containsText" dxfId="2117" priority="2318" operator="containsText" text="Fully Achieved">
      <formula>NOT(ISERROR(SEARCH("Fully Achieved",I31)))</formula>
    </cfRule>
    <cfRule type="containsText" dxfId="2116" priority="2319" operator="containsText" text="Not yet due">
      <formula>NOT(ISERROR(SEARCH("Not yet due",I31)))</formula>
    </cfRule>
    <cfRule type="containsText" dxfId="2115" priority="2320" operator="containsText" text="Not Yet Due">
      <formula>NOT(ISERROR(SEARCH("Not Yet Due",I31)))</formula>
    </cfRule>
    <cfRule type="containsText" dxfId="2114" priority="2321" operator="containsText" text="Deferred">
      <formula>NOT(ISERROR(SEARCH("Deferred",I31)))</formula>
    </cfRule>
    <cfRule type="containsText" dxfId="2113" priority="2322" operator="containsText" text="Deleted">
      <formula>NOT(ISERROR(SEARCH("Deleted",I31)))</formula>
    </cfRule>
    <cfRule type="containsText" dxfId="2112" priority="2323" operator="containsText" text="In Danger of Falling Behind Target">
      <formula>NOT(ISERROR(SEARCH("In Danger of Falling Behind Target",I31)))</formula>
    </cfRule>
    <cfRule type="containsText" dxfId="2111" priority="2324" operator="containsText" text="Not yet due">
      <formula>NOT(ISERROR(SEARCH("Not yet due",I31)))</formula>
    </cfRule>
    <cfRule type="containsText" dxfId="2110" priority="2325" operator="containsText" text="Completed Behind Schedule">
      <formula>NOT(ISERROR(SEARCH("Completed Behind Schedule",I31)))</formula>
    </cfRule>
    <cfRule type="containsText" dxfId="2109" priority="2326" operator="containsText" text="Off Target">
      <formula>NOT(ISERROR(SEARCH("Off Target",I31)))</formula>
    </cfRule>
    <cfRule type="containsText" dxfId="2108" priority="2327" operator="containsText" text="In Danger of Falling Behind Target">
      <formula>NOT(ISERROR(SEARCH("In Danger of Falling Behind Target",I31)))</formula>
    </cfRule>
    <cfRule type="containsText" dxfId="2107" priority="2328" operator="containsText" text="On Track to be Achieved">
      <formula>NOT(ISERROR(SEARCH("On Track to be Achieved",I31)))</formula>
    </cfRule>
    <cfRule type="containsText" dxfId="2106" priority="2329" operator="containsText" text="Fully Achieved">
      <formula>NOT(ISERROR(SEARCH("Fully Achieved",I31)))</formula>
    </cfRule>
    <cfRule type="containsText" dxfId="2105" priority="2330" operator="containsText" text="Update not Provided">
      <formula>NOT(ISERROR(SEARCH("Update not Provided",I31)))</formula>
    </cfRule>
    <cfRule type="containsText" dxfId="2104" priority="2331" operator="containsText" text="Not yet due">
      <formula>NOT(ISERROR(SEARCH("Not yet due",I31)))</formula>
    </cfRule>
    <cfRule type="containsText" dxfId="2103" priority="2332" operator="containsText" text="Completed Behind Schedule">
      <formula>NOT(ISERROR(SEARCH("Completed Behind Schedule",I31)))</formula>
    </cfRule>
    <cfRule type="containsText" dxfId="2102" priority="2333" operator="containsText" text="Off Target">
      <formula>NOT(ISERROR(SEARCH("Off Target",I31)))</formula>
    </cfRule>
    <cfRule type="containsText" dxfId="2101" priority="2334" operator="containsText" text="In Danger of Falling Behind Target">
      <formula>NOT(ISERROR(SEARCH("In Danger of Falling Behind Target",I31)))</formula>
    </cfRule>
    <cfRule type="containsText" dxfId="2100" priority="2335" operator="containsText" text="On Track to be Achieved">
      <formula>NOT(ISERROR(SEARCH("On Track to be Achieved",I31)))</formula>
    </cfRule>
    <cfRule type="containsText" dxfId="2099" priority="2336" operator="containsText" text="Fully Achieved">
      <formula>NOT(ISERROR(SEARCH("Fully Achieved",I31)))</formula>
    </cfRule>
    <cfRule type="containsText" dxfId="2098" priority="2337" operator="containsText" text="Fully Achieved">
      <formula>NOT(ISERROR(SEARCH("Fully Achieved",I31)))</formula>
    </cfRule>
    <cfRule type="containsText" dxfId="2097" priority="2338" operator="containsText" text="Fully Achieved">
      <formula>NOT(ISERROR(SEARCH("Fully Achieved",I31)))</formula>
    </cfRule>
    <cfRule type="containsText" dxfId="2096" priority="2339" operator="containsText" text="Deferred">
      <formula>NOT(ISERROR(SEARCH("Deferred",I31)))</formula>
    </cfRule>
    <cfRule type="containsText" dxfId="2095" priority="2340" operator="containsText" text="Deleted">
      <formula>NOT(ISERROR(SEARCH("Deleted",I31)))</formula>
    </cfRule>
    <cfRule type="containsText" dxfId="2094" priority="2341" operator="containsText" text="In Danger of Falling Behind Target">
      <formula>NOT(ISERROR(SEARCH("In Danger of Falling Behind Target",I31)))</formula>
    </cfRule>
    <cfRule type="containsText" dxfId="2093" priority="2342" operator="containsText" text="Not yet due">
      <formula>NOT(ISERROR(SEARCH("Not yet due",I31)))</formula>
    </cfRule>
    <cfRule type="containsText" dxfId="2092" priority="2343" operator="containsText" text="Update not Provided">
      <formula>NOT(ISERROR(SEARCH("Update not Provided",I31)))</formula>
    </cfRule>
  </conditionalFormatting>
  <conditionalFormatting sqref="I42">
    <cfRule type="containsText" dxfId="2091" priority="2272" operator="containsText" text="On track to be achieved">
      <formula>NOT(ISERROR(SEARCH("On track to be achieved",I42)))</formula>
    </cfRule>
    <cfRule type="containsText" dxfId="2090" priority="2273" operator="containsText" text="Deferred">
      <formula>NOT(ISERROR(SEARCH("Deferred",I42)))</formula>
    </cfRule>
    <cfRule type="containsText" dxfId="2089" priority="2274" operator="containsText" text="Deleted">
      <formula>NOT(ISERROR(SEARCH("Deleted",I42)))</formula>
    </cfRule>
    <cfRule type="containsText" dxfId="2088" priority="2275" operator="containsText" text="In Danger of Falling Behind Target">
      <formula>NOT(ISERROR(SEARCH("In Danger of Falling Behind Target",I42)))</formula>
    </cfRule>
    <cfRule type="containsText" dxfId="2087" priority="2276" operator="containsText" text="Not yet due">
      <formula>NOT(ISERROR(SEARCH("Not yet due",I42)))</formula>
    </cfRule>
    <cfRule type="containsText" dxfId="2086" priority="2277" operator="containsText" text="Update not Provided">
      <formula>NOT(ISERROR(SEARCH("Update not Provided",I42)))</formula>
    </cfRule>
    <cfRule type="containsText" dxfId="2085" priority="2278" operator="containsText" text="Not yet due">
      <formula>NOT(ISERROR(SEARCH("Not yet due",I42)))</formula>
    </cfRule>
    <cfRule type="containsText" dxfId="2084" priority="2279" operator="containsText" text="Completed Behind Schedule">
      <formula>NOT(ISERROR(SEARCH("Completed Behind Schedule",I42)))</formula>
    </cfRule>
    <cfRule type="containsText" dxfId="2083" priority="2280" operator="containsText" text="Off Target">
      <formula>NOT(ISERROR(SEARCH("Off Target",I42)))</formula>
    </cfRule>
    <cfRule type="containsText" dxfId="2082" priority="2281" operator="containsText" text="On Track to be Achieved">
      <formula>NOT(ISERROR(SEARCH("On Track to be Achieved",I42)))</formula>
    </cfRule>
    <cfRule type="containsText" dxfId="2081" priority="2282" operator="containsText" text="Fully Achieved">
      <formula>NOT(ISERROR(SEARCH("Fully Achieved",I42)))</formula>
    </cfRule>
    <cfRule type="containsText" dxfId="2080" priority="2283" operator="containsText" text="Not yet due">
      <formula>NOT(ISERROR(SEARCH("Not yet due",I42)))</formula>
    </cfRule>
    <cfRule type="containsText" dxfId="2079" priority="2284" operator="containsText" text="Not Yet Due">
      <formula>NOT(ISERROR(SEARCH("Not Yet Due",I42)))</formula>
    </cfRule>
    <cfRule type="containsText" dxfId="2078" priority="2285" operator="containsText" text="Deferred">
      <formula>NOT(ISERROR(SEARCH("Deferred",I42)))</formula>
    </cfRule>
    <cfRule type="containsText" dxfId="2077" priority="2286" operator="containsText" text="Deleted">
      <formula>NOT(ISERROR(SEARCH("Deleted",I42)))</formula>
    </cfRule>
    <cfRule type="containsText" dxfId="2076" priority="2287" operator="containsText" text="In Danger of Falling Behind Target">
      <formula>NOT(ISERROR(SEARCH("In Danger of Falling Behind Target",I42)))</formula>
    </cfRule>
    <cfRule type="containsText" dxfId="2075" priority="2288" operator="containsText" text="Not yet due">
      <formula>NOT(ISERROR(SEARCH("Not yet due",I42)))</formula>
    </cfRule>
    <cfRule type="containsText" dxfId="2074" priority="2289" operator="containsText" text="Completed Behind Schedule">
      <formula>NOT(ISERROR(SEARCH("Completed Behind Schedule",I42)))</formula>
    </cfRule>
    <cfRule type="containsText" dxfId="2073" priority="2290" operator="containsText" text="Off Target">
      <formula>NOT(ISERROR(SEARCH("Off Target",I42)))</formula>
    </cfRule>
    <cfRule type="containsText" dxfId="2072" priority="2291" operator="containsText" text="In Danger of Falling Behind Target">
      <formula>NOT(ISERROR(SEARCH("In Danger of Falling Behind Target",I42)))</formula>
    </cfRule>
    <cfRule type="containsText" dxfId="2071" priority="2292" operator="containsText" text="On Track to be Achieved">
      <formula>NOT(ISERROR(SEARCH("On Track to be Achieved",I42)))</formula>
    </cfRule>
    <cfRule type="containsText" dxfId="2070" priority="2293" operator="containsText" text="Fully Achieved">
      <formula>NOT(ISERROR(SEARCH("Fully Achieved",I42)))</formula>
    </cfRule>
    <cfRule type="containsText" dxfId="2069" priority="2294" operator="containsText" text="Update not Provided">
      <formula>NOT(ISERROR(SEARCH("Update not Provided",I42)))</formula>
    </cfRule>
    <cfRule type="containsText" dxfId="2068" priority="2295" operator="containsText" text="Not yet due">
      <formula>NOT(ISERROR(SEARCH("Not yet due",I42)))</formula>
    </cfRule>
    <cfRule type="containsText" dxfId="2067" priority="2296" operator="containsText" text="Completed Behind Schedule">
      <formula>NOT(ISERROR(SEARCH("Completed Behind Schedule",I42)))</formula>
    </cfRule>
    <cfRule type="containsText" dxfId="2066" priority="2297" operator="containsText" text="Off Target">
      <formula>NOT(ISERROR(SEARCH("Off Target",I42)))</formula>
    </cfRule>
    <cfRule type="containsText" dxfId="2065" priority="2298" operator="containsText" text="In Danger of Falling Behind Target">
      <formula>NOT(ISERROR(SEARCH("In Danger of Falling Behind Target",I42)))</formula>
    </cfRule>
    <cfRule type="containsText" dxfId="2064" priority="2299" operator="containsText" text="On Track to be Achieved">
      <formula>NOT(ISERROR(SEARCH("On Track to be Achieved",I42)))</formula>
    </cfRule>
    <cfRule type="containsText" dxfId="2063" priority="2300" operator="containsText" text="Fully Achieved">
      <formula>NOT(ISERROR(SEARCH("Fully Achieved",I42)))</formula>
    </cfRule>
    <cfRule type="containsText" dxfId="2062" priority="2301" operator="containsText" text="Fully Achieved">
      <formula>NOT(ISERROR(SEARCH("Fully Achieved",I42)))</formula>
    </cfRule>
    <cfRule type="containsText" dxfId="2061" priority="2302" operator="containsText" text="Fully Achieved">
      <formula>NOT(ISERROR(SEARCH("Fully Achieved",I42)))</formula>
    </cfRule>
    <cfRule type="containsText" dxfId="2060" priority="2303" operator="containsText" text="Deferred">
      <formula>NOT(ISERROR(SEARCH("Deferred",I42)))</formula>
    </cfRule>
    <cfRule type="containsText" dxfId="2059" priority="2304" operator="containsText" text="Deleted">
      <formula>NOT(ISERROR(SEARCH("Deleted",I42)))</formula>
    </cfRule>
    <cfRule type="containsText" dxfId="2058" priority="2305" operator="containsText" text="In Danger of Falling Behind Target">
      <formula>NOT(ISERROR(SEARCH("In Danger of Falling Behind Target",I42)))</formula>
    </cfRule>
    <cfRule type="containsText" dxfId="2057" priority="2306" operator="containsText" text="Not yet due">
      <formula>NOT(ISERROR(SEARCH("Not yet due",I42)))</formula>
    </cfRule>
    <cfRule type="containsText" dxfId="2056" priority="2307" operator="containsText" text="Update not Provided">
      <formula>NOT(ISERROR(SEARCH("Update not Provided",I42)))</formula>
    </cfRule>
  </conditionalFormatting>
  <conditionalFormatting sqref="I42">
    <cfRule type="containsText" dxfId="2055" priority="2236" operator="containsText" text="On track to be achieved">
      <formula>NOT(ISERROR(SEARCH("On track to be achieved",I42)))</formula>
    </cfRule>
    <cfRule type="containsText" dxfId="2054" priority="2237" operator="containsText" text="Deferred">
      <formula>NOT(ISERROR(SEARCH("Deferred",I42)))</formula>
    </cfRule>
    <cfRule type="containsText" dxfId="2053" priority="2238" operator="containsText" text="Deleted">
      <formula>NOT(ISERROR(SEARCH("Deleted",I42)))</formula>
    </cfRule>
    <cfRule type="containsText" dxfId="2052" priority="2239" operator="containsText" text="In Danger of Falling Behind Target">
      <formula>NOT(ISERROR(SEARCH("In Danger of Falling Behind Target",I42)))</formula>
    </cfRule>
    <cfRule type="containsText" dxfId="2051" priority="2240" operator="containsText" text="Not yet due">
      <formula>NOT(ISERROR(SEARCH("Not yet due",I42)))</formula>
    </cfRule>
    <cfRule type="containsText" dxfId="2050" priority="2241" operator="containsText" text="Update not Provided">
      <formula>NOT(ISERROR(SEARCH("Update not Provided",I42)))</formula>
    </cfRule>
    <cfRule type="containsText" dxfId="2049" priority="2242" operator="containsText" text="Not yet due">
      <formula>NOT(ISERROR(SEARCH("Not yet due",I42)))</formula>
    </cfRule>
    <cfRule type="containsText" dxfId="2048" priority="2243" operator="containsText" text="Completed Behind Schedule">
      <formula>NOT(ISERROR(SEARCH("Completed Behind Schedule",I42)))</formula>
    </cfRule>
    <cfRule type="containsText" dxfId="2047" priority="2244" operator="containsText" text="Off Target">
      <formula>NOT(ISERROR(SEARCH("Off Target",I42)))</formula>
    </cfRule>
    <cfRule type="containsText" dxfId="2046" priority="2245" operator="containsText" text="On Track to be Achieved">
      <formula>NOT(ISERROR(SEARCH("On Track to be Achieved",I42)))</formula>
    </cfRule>
    <cfRule type="containsText" dxfId="2045" priority="2246" operator="containsText" text="Fully Achieved">
      <formula>NOT(ISERROR(SEARCH("Fully Achieved",I42)))</formula>
    </cfRule>
    <cfRule type="containsText" dxfId="2044" priority="2247" operator="containsText" text="Not yet due">
      <formula>NOT(ISERROR(SEARCH("Not yet due",I42)))</formula>
    </cfRule>
    <cfRule type="containsText" dxfId="2043" priority="2248" operator="containsText" text="Not Yet Due">
      <formula>NOT(ISERROR(SEARCH("Not Yet Due",I42)))</formula>
    </cfRule>
    <cfRule type="containsText" dxfId="2042" priority="2249" operator="containsText" text="Deferred">
      <formula>NOT(ISERROR(SEARCH("Deferred",I42)))</formula>
    </cfRule>
    <cfRule type="containsText" dxfId="2041" priority="2250" operator="containsText" text="Deleted">
      <formula>NOT(ISERROR(SEARCH("Deleted",I42)))</formula>
    </cfRule>
    <cfRule type="containsText" dxfId="2040" priority="2251" operator="containsText" text="In Danger of Falling Behind Target">
      <formula>NOT(ISERROR(SEARCH("In Danger of Falling Behind Target",I42)))</formula>
    </cfRule>
    <cfRule type="containsText" dxfId="2039" priority="2252" operator="containsText" text="Not yet due">
      <formula>NOT(ISERROR(SEARCH("Not yet due",I42)))</formula>
    </cfRule>
    <cfRule type="containsText" dxfId="2038" priority="2253" operator="containsText" text="Completed Behind Schedule">
      <formula>NOT(ISERROR(SEARCH("Completed Behind Schedule",I42)))</formula>
    </cfRule>
    <cfRule type="containsText" dxfId="2037" priority="2254" operator="containsText" text="Off Target">
      <formula>NOT(ISERROR(SEARCH("Off Target",I42)))</formula>
    </cfRule>
    <cfRule type="containsText" dxfId="2036" priority="2255" operator="containsText" text="In Danger of Falling Behind Target">
      <formula>NOT(ISERROR(SEARCH("In Danger of Falling Behind Target",I42)))</formula>
    </cfRule>
    <cfRule type="containsText" dxfId="2035" priority="2256" operator="containsText" text="On Track to be Achieved">
      <formula>NOT(ISERROR(SEARCH("On Track to be Achieved",I42)))</formula>
    </cfRule>
    <cfRule type="containsText" dxfId="2034" priority="2257" operator="containsText" text="Fully Achieved">
      <formula>NOT(ISERROR(SEARCH("Fully Achieved",I42)))</formula>
    </cfRule>
    <cfRule type="containsText" dxfId="2033" priority="2258" operator="containsText" text="Update not Provided">
      <formula>NOT(ISERROR(SEARCH("Update not Provided",I42)))</formula>
    </cfRule>
    <cfRule type="containsText" dxfId="2032" priority="2259" operator="containsText" text="Not yet due">
      <formula>NOT(ISERROR(SEARCH("Not yet due",I42)))</formula>
    </cfRule>
    <cfRule type="containsText" dxfId="2031" priority="2260" operator="containsText" text="Completed Behind Schedule">
      <formula>NOT(ISERROR(SEARCH("Completed Behind Schedule",I42)))</formula>
    </cfRule>
    <cfRule type="containsText" dxfId="2030" priority="2261" operator="containsText" text="Off Target">
      <formula>NOT(ISERROR(SEARCH("Off Target",I42)))</formula>
    </cfRule>
    <cfRule type="containsText" dxfId="2029" priority="2262" operator="containsText" text="In Danger of Falling Behind Target">
      <formula>NOT(ISERROR(SEARCH("In Danger of Falling Behind Target",I42)))</formula>
    </cfRule>
    <cfRule type="containsText" dxfId="2028" priority="2263" operator="containsText" text="On Track to be Achieved">
      <formula>NOT(ISERROR(SEARCH("On Track to be Achieved",I42)))</formula>
    </cfRule>
    <cfRule type="containsText" dxfId="2027" priority="2264" operator="containsText" text="Fully Achieved">
      <formula>NOT(ISERROR(SEARCH("Fully Achieved",I42)))</formula>
    </cfRule>
    <cfRule type="containsText" dxfId="2026" priority="2265" operator="containsText" text="Fully Achieved">
      <formula>NOT(ISERROR(SEARCH("Fully Achieved",I42)))</formula>
    </cfRule>
    <cfRule type="containsText" dxfId="2025" priority="2266" operator="containsText" text="Fully Achieved">
      <formula>NOT(ISERROR(SEARCH("Fully Achieved",I42)))</formula>
    </cfRule>
    <cfRule type="containsText" dxfId="2024" priority="2267" operator="containsText" text="Deferred">
      <formula>NOT(ISERROR(SEARCH("Deferred",I42)))</formula>
    </cfRule>
    <cfRule type="containsText" dxfId="2023" priority="2268" operator="containsText" text="Deleted">
      <formula>NOT(ISERROR(SEARCH("Deleted",I42)))</formula>
    </cfRule>
    <cfRule type="containsText" dxfId="2022" priority="2269" operator="containsText" text="In Danger of Falling Behind Target">
      <formula>NOT(ISERROR(SEARCH("In Danger of Falling Behind Target",I42)))</formula>
    </cfRule>
    <cfRule type="containsText" dxfId="2021" priority="2270" operator="containsText" text="Not yet due">
      <formula>NOT(ISERROR(SEARCH("Not yet due",I42)))</formula>
    </cfRule>
    <cfRule type="containsText" dxfId="2020" priority="2271" operator="containsText" text="Update not Provided">
      <formula>NOT(ISERROR(SEARCH("Update not Provided",I42)))</formula>
    </cfRule>
  </conditionalFormatting>
  <conditionalFormatting sqref="I42">
    <cfRule type="containsText" dxfId="2019" priority="2200" operator="containsText" text="On track to be achieved">
      <formula>NOT(ISERROR(SEARCH("On track to be achieved",I42)))</formula>
    </cfRule>
    <cfRule type="containsText" dxfId="2018" priority="2201" operator="containsText" text="Deferred">
      <formula>NOT(ISERROR(SEARCH("Deferred",I42)))</formula>
    </cfRule>
    <cfRule type="containsText" dxfId="2017" priority="2202" operator="containsText" text="Deleted">
      <formula>NOT(ISERROR(SEARCH("Deleted",I42)))</formula>
    </cfRule>
    <cfRule type="containsText" dxfId="2016" priority="2203" operator="containsText" text="In Danger of Falling Behind Target">
      <formula>NOT(ISERROR(SEARCH("In Danger of Falling Behind Target",I42)))</formula>
    </cfRule>
    <cfRule type="containsText" dxfId="2015" priority="2204" operator="containsText" text="Not yet due">
      <formula>NOT(ISERROR(SEARCH("Not yet due",I42)))</formula>
    </cfRule>
    <cfRule type="containsText" dxfId="2014" priority="2205" operator="containsText" text="Update not Provided">
      <formula>NOT(ISERROR(SEARCH("Update not Provided",I42)))</formula>
    </cfRule>
    <cfRule type="containsText" dxfId="2013" priority="2206" operator="containsText" text="Not yet due">
      <formula>NOT(ISERROR(SEARCH("Not yet due",I42)))</formula>
    </cfRule>
    <cfRule type="containsText" dxfId="2012" priority="2207" operator="containsText" text="Completed Behind Schedule">
      <formula>NOT(ISERROR(SEARCH("Completed Behind Schedule",I42)))</formula>
    </cfRule>
    <cfRule type="containsText" dxfId="2011" priority="2208" operator="containsText" text="Off Target">
      <formula>NOT(ISERROR(SEARCH("Off Target",I42)))</formula>
    </cfRule>
    <cfRule type="containsText" dxfId="2010" priority="2209" operator="containsText" text="On Track to be Achieved">
      <formula>NOT(ISERROR(SEARCH("On Track to be Achieved",I42)))</formula>
    </cfRule>
    <cfRule type="containsText" dxfId="2009" priority="2210" operator="containsText" text="Fully Achieved">
      <formula>NOT(ISERROR(SEARCH("Fully Achieved",I42)))</formula>
    </cfRule>
    <cfRule type="containsText" dxfId="2008" priority="2211" operator="containsText" text="Not yet due">
      <formula>NOT(ISERROR(SEARCH("Not yet due",I42)))</formula>
    </cfRule>
    <cfRule type="containsText" dxfId="2007" priority="2212" operator="containsText" text="Not Yet Due">
      <formula>NOT(ISERROR(SEARCH("Not Yet Due",I42)))</formula>
    </cfRule>
    <cfRule type="containsText" dxfId="2006" priority="2213" operator="containsText" text="Deferred">
      <formula>NOT(ISERROR(SEARCH("Deferred",I42)))</formula>
    </cfRule>
    <cfRule type="containsText" dxfId="2005" priority="2214" operator="containsText" text="Deleted">
      <formula>NOT(ISERROR(SEARCH("Deleted",I42)))</formula>
    </cfRule>
    <cfRule type="containsText" dxfId="2004" priority="2215" operator="containsText" text="In Danger of Falling Behind Target">
      <formula>NOT(ISERROR(SEARCH("In Danger of Falling Behind Target",I42)))</formula>
    </cfRule>
    <cfRule type="containsText" dxfId="2003" priority="2216" operator="containsText" text="Not yet due">
      <formula>NOT(ISERROR(SEARCH("Not yet due",I42)))</formula>
    </cfRule>
    <cfRule type="containsText" dxfId="2002" priority="2217" operator="containsText" text="Completed Behind Schedule">
      <formula>NOT(ISERROR(SEARCH("Completed Behind Schedule",I42)))</formula>
    </cfRule>
    <cfRule type="containsText" dxfId="2001" priority="2218" operator="containsText" text="Off Target">
      <formula>NOT(ISERROR(SEARCH("Off Target",I42)))</formula>
    </cfRule>
    <cfRule type="containsText" dxfId="2000" priority="2219" operator="containsText" text="In Danger of Falling Behind Target">
      <formula>NOT(ISERROR(SEARCH("In Danger of Falling Behind Target",I42)))</formula>
    </cfRule>
    <cfRule type="containsText" dxfId="1999" priority="2220" operator="containsText" text="On Track to be Achieved">
      <formula>NOT(ISERROR(SEARCH("On Track to be Achieved",I42)))</formula>
    </cfRule>
    <cfRule type="containsText" dxfId="1998" priority="2221" operator="containsText" text="Fully Achieved">
      <formula>NOT(ISERROR(SEARCH("Fully Achieved",I42)))</formula>
    </cfRule>
    <cfRule type="containsText" dxfId="1997" priority="2222" operator="containsText" text="Update not Provided">
      <formula>NOT(ISERROR(SEARCH("Update not Provided",I42)))</formula>
    </cfRule>
    <cfRule type="containsText" dxfId="1996" priority="2223" operator="containsText" text="Not yet due">
      <formula>NOT(ISERROR(SEARCH("Not yet due",I42)))</formula>
    </cfRule>
    <cfRule type="containsText" dxfId="1995" priority="2224" operator="containsText" text="Completed Behind Schedule">
      <formula>NOT(ISERROR(SEARCH("Completed Behind Schedule",I42)))</formula>
    </cfRule>
    <cfRule type="containsText" dxfId="1994" priority="2225" operator="containsText" text="Off Target">
      <formula>NOT(ISERROR(SEARCH("Off Target",I42)))</formula>
    </cfRule>
    <cfRule type="containsText" dxfId="1993" priority="2226" operator="containsText" text="In Danger of Falling Behind Target">
      <formula>NOT(ISERROR(SEARCH("In Danger of Falling Behind Target",I42)))</formula>
    </cfRule>
    <cfRule type="containsText" dxfId="1992" priority="2227" operator="containsText" text="On Track to be Achieved">
      <formula>NOT(ISERROR(SEARCH("On Track to be Achieved",I42)))</formula>
    </cfRule>
    <cfRule type="containsText" dxfId="1991" priority="2228" operator="containsText" text="Fully Achieved">
      <formula>NOT(ISERROR(SEARCH("Fully Achieved",I42)))</formula>
    </cfRule>
    <cfRule type="containsText" dxfId="1990" priority="2229" operator="containsText" text="Fully Achieved">
      <formula>NOT(ISERROR(SEARCH("Fully Achieved",I42)))</formula>
    </cfRule>
    <cfRule type="containsText" dxfId="1989" priority="2230" operator="containsText" text="Fully Achieved">
      <formula>NOT(ISERROR(SEARCH("Fully Achieved",I42)))</formula>
    </cfRule>
    <cfRule type="containsText" dxfId="1988" priority="2231" operator="containsText" text="Deferred">
      <formula>NOT(ISERROR(SEARCH("Deferred",I42)))</formula>
    </cfRule>
    <cfRule type="containsText" dxfId="1987" priority="2232" operator="containsText" text="Deleted">
      <formula>NOT(ISERROR(SEARCH("Deleted",I42)))</formula>
    </cfRule>
    <cfRule type="containsText" dxfId="1986" priority="2233" operator="containsText" text="In Danger of Falling Behind Target">
      <formula>NOT(ISERROR(SEARCH("In Danger of Falling Behind Target",I42)))</formula>
    </cfRule>
    <cfRule type="containsText" dxfId="1985" priority="2234" operator="containsText" text="Not yet due">
      <formula>NOT(ISERROR(SEARCH("Not yet due",I42)))</formula>
    </cfRule>
    <cfRule type="containsText" dxfId="1984" priority="2235" operator="containsText" text="Update not Provided">
      <formula>NOT(ISERROR(SEARCH("Update not Provided",I42)))</formula>
    </cfRule>
  </conditionalFormatting>
  <conditionalFormatting sqref="I43:I49">
    <cfRule type="containsText" dxfId="1983" priority="2164" operator="containsText" text="On track to be achieved">
      <formula>NOT(ISERROR(SEARCH("On track to be achieved",I43)))</formula>
    </cfRule>
    <cfRule type="containsText" dxfId="1982" priority="2165" operator="containsText" text="Deferred">
      <formula>NOT(ISERROR(SEARCH("Deferred",I43)))</formula>
    </cfRule>
    <cfRule type="containsText" dxfId="1981" priority="2166" operator="containsText" text="Deleted">
      <formula>NOT(ISERROR(SEARCH("Deleted",I43)))</formula>
    </cfRule>
    <cfRule type="containsText" dxfId="1980" priority="2167" operator="containsText" text="In Danger of Falling Behind Target">
      <formula>NOT(ISERROR(SEARCH("In Danger of Falling Behind Target",I43)))</formula>
    </cfRule>
    <cfRule type="containsText" dxfId="1979" priority="2168" operator="containsText" text="Not yet due">
      <formula>NOT(ISERROR(SEARCH("Not yet due",I43)))</formula>
    </cfRule>
    <cfRule type="containsText" dxfId="1978" priority="2169" operator="containsText" text="Update not Provided">
      <formula>NOT(ISERROR(SEARCH("Update not Provided",I43)))</formula>
    </cfRule>
    <cfRule type="containsText" dxfId="1977" priority="2170" operator="containsText" text="Not yet due">
      <formula>NOT(ISERROR(SEARCH("Not yet due",I43)))</formula>
    </cfRule>
    <cfRule type="containsText" dxfId="1976" priority="2171" operator="containsText" text="Completed Behind Schedule">
      <formula>NOT(ISERROR(SEARCH("Completed Behind Schedule",I43)))</formula>
    </cfRule>
    <cfRule type="containsText" dxfId="1975" priority="2172" operator="containsText" text="Off Target">
      <formula>NOT(ISERROR(SEARCH("Off Target",I43)))</formula>
    </cfRule>
    <cfRule type="containsText" dxfId="1974" priority="2173" operator="containsText" text="On Track to be Achieved">
      <formula>NOT(ISERROR(SEARCH("On Track to be Achieved",I43)))</formula>
    </cfRule>
    <cfRule type="containsText" dxfId="1973" priority="2174" operator="containsText" text="Fully Achieved">
      <formula>NOT(ISERROR(SEARCH("Fully Achieved",I43)))</formula>
    </cfRule>
    <cfRule type="containsText" dxfId="1972" priority="2175" operator="containsText" text="Not yet due">
      <formula>NOT(ISERROR(SEARCH("Not yet due",I43)))</formula>
    </cfRule>
    <cfRule type="containsText" dxfId="1971" priority="2176" operator="containsText" text="Not Yet Due">
      <formula>NOT(ISERROR(SEARCH("Not Yet Due",I43)))</formula>
    </cfRule>
    <cfRule type="containsText" dxfId="1970" priority="2177" operator="containsText" text="Deferred">
      <formula>NOT(ISERROR(SEARCH("Deferred",I43)))</formula>
    </cfRule>
    <cfRule type="containsText" dxfId="1969" priority="2178" operator="containsText" text="Deleted">
      <formula>NOT(ISERROR(SEARCH("Deleted",I43)))</formula>
    </cfRule>
    <cfRule type="containsText" dxfId="1968" priority="2179" operator="containsText" text="In Danger of Falling Behind Target">
      <formula>NOT(ISERROR(SEARCH("In Danger of Falling Behind Target",I43)))</formula>
    </cfRule>
    <cfRule type="containsText" dxfId="1967" priority="2180" operator="containsText" text="Not yet due">
      <formula>NOT(ISERROR(SEARCH("Not yet due",I43)))</formula>
    </cfRule>
    <cfRule type="containsText" dxfId="1966" priority="2181" operator="containsText" text="Completed Behind Schedule">
      <formula>NOT(ISERROR(SEARCH("Completed Behind Schedule",I43)))</formula>
    </cfRule>
    <cfRule type="containsText" dxfId="1965" priority="2182" operator="containsText" text="Off Target">
      <formula>NOT(ISERROR(SEARCH("Off Target",I43)))</formula>
    </cfRule>
    <cfRule type="containsText" dxfId="1964" priority="2183" operator="containsText" text="In Danger of Falling Behind Target">
      <formula>NOT(ISERROR(SEARCH("In Danger of Falling Behind Target",I43)))</formula>
    </cfRule>
    <cfRule type="containsText" dxfId="1963" priority="2184" operator="containsText" text="On Track to be Achieved">
      <formula>NOT(ISERROR(SEARCH("On Track to be Achieved",I43)))</formula>
    </cfRule>
    <cfRule type="containsText" dxfId="1962" priority="2185" operator="containsText" text="Fully Achieved">
      <formula>NOT(ISERROR(SEARCH("Fully Achieved",I43)))</formula>
    </cfRule>
    <cfRule type="containsText" dxfId="1961" priority="2186" operator="containsText" text="Update not Provided">
      <formula>NOT(ISERROR(SEARCH("Update not Provided",I43)))</formula>
    </cfRule>
    <cfRule type="containsText" dxfId="1960" priority="2187" operator="containsText" text="Not yet due">
      <formula>NOT(ISERROR(SEARCH("Not yet due",I43)))</formula>
    </cfRule>
    <cfRule type="containsText" dxfId="1959" priority="2188" operator="containsText" text="Completed Behind Schedule">
      <formula>NOT(ISERROR(SEARCH("Completed Behind Schedule",I43)))</formula>
    </cfRule>
    <cfRule type="containsText" dxfId="1958" priority="2189" operator="containsText" text="Off Target">
      <formula>NOT(ISERROR(SEARCH("Off Target",I43)))</formula>
    </cfRule>
    <cfRule type="containsText" dxfId="1957" priority="2190" operator="containsText" text="In Danger of Falling Behind Target">
      <formula>NOT(ISERROR(SEARCH("In Danger of Falling Behind Target",I43)))</formula>
    </cfRule>
    <cfRule type="containsText" dxfId="1956" priority="2191" operator="containsText" text="On Track to be Achieved">
      <formula>NOT(ISERROR(SEARCH("On Track to be Achieved",I43)))</formula>
    </cfRule>
    <cfRule type="containsText" dxfId="1955" priority="2192" operator="containsText" text="Fully Achieved">
      <formula>NOT(ISERROR(SEARCH("Fully Achieved",I43)))</formula>
    </cfRule>
    <cfRule type="containsText" dxfId="1954" priority="2193" operator="containsText" text="Fully Achieved">
      <formula>NOT(ISERROR(SEARCH("Fully Achieved",I43)))</formula>
    </cfRule>
    <cfRule type="containsText" dxfId="1953" priority="2194" operator="containsText" text="Fully Achieved">
      <formula>NOT(ISERROR(SEARCH("Fully Achieved",I43)))</formula>
    </cfRule>
    <cfRule type="containsText" dxfId="1952" priority="2195" operator="containsText" text="Deferred">
      <formula>NOT(ISERROR(SEARCH("Deferred",I43)))</formula>
    </cfRule>
    <cfRule type="containsText" dxfId="1951" priority="2196" operator="containsText" text="Deleted">
      <formula>NOT(ISERROR(SEARCH("Deleted",I43)))</formula>
    </cfRule>
    <cfRule type="containsText" dxfId="1950" priority="2197" operator="containsText" text="In Danger of Falling Behind Target">
      <formula>NOT(ISERROR(SEARCH("In Danger of Falling Behind Target",I43)))</formula>
    </cfRule>
    <cfRule type="containsText" dxfId="1949" priority="2198" operator="containsText" text="Not yet due">
      <formula>NOT(ISERROR(SEARCH("Not yet due",I43)))</formula>
    </cfRule>
    <cfRule type="containsText" dxfId="1948" priority="2199" operator="containsText" text="Update not Provided">
      <formula>NOT(ISERROR(SEARCH("Update not Provided",I43)))</formula>
    </cfRule>
  </conditionalFormatting>
  <conditionalFormatting sqref="I50">
    <cfRule type="containsText" dxfId="1947" priority="2128" operator="containsText" text="On track to be achieved">
      <formula>NOT(ISERROR(SEARCH("On track to be achieved",I50)))</formula>
    </cfRule>
    <cfRule type="containsText" dxfId="1946" priority="2129" operator="containsText" text="Deferred">
      <formula>NOT(ISERROR(SEARCH("Deferred",I50)))</formula>
    </cfRule>
    <cfRule type="containsText" dxfId="1945" priority="2130" operator="containsText" text="Deleted">
      <formula>NOT(ISERROR(SEARCH("Deleted",I50)))</formula>
    </cfRule>
    <cfRule type="containsText" dxfId="1944" priority="2131" operator="containsText" text="In Danger of Falling Behind Target">
      <formula>NOT(ISERROR(SEARCH("In Danger of Falling Behind Target",I50)))</formula>
    </cfRule>
    <cfRule type="containsText" dxfId="1943" priority="2132" operator="containsText" text="Not yet due">
      <formula>NOT(ISERROR(SEARCH("Not yet due",I50)))</formula>
    </cfRule>
    <cfRule type="containsText" dxfId="1942" priority="2133" operator="containsText" text="Update not Provided">
      <formula>NOT(ISERROR(SEARCH("Update not Provided",I50)))</formula>
    </cfRule>
    <cfRule type="containsText" dxfId="1941" priority="2134" operator="containsText" text="Not yet due">
      <formula>NOT(ISERROR(SEARCH("Not yet due",I50)))</formula>
    </cfRule>
    <cfRule type="containsText" dxfId="1940" priority="2135" operator="containsText" text="Completed Behind Schedule">
      <formula>NOT(ISERROR(SEARCH("Completed Behind Schedule",I50)))</formula>
    </cfRule>
    <cfRule type="containsText" dxfId="1939" priority="2136" operator="containsText" text="Off Target">
      <formula>NOT(ISERROR(SEARCH("Off Target",I50)))</formula>
    </cfRule>
    <cfRule type="containsText" dxfId="1938" priority="2137" operator="containsText" text="On Track to be Achieved">
      <formula>NOT(ISERROR(SEARCH("On Track to be Achieved",I50)))</formula>
    </cfRule>
    <cfRule type="containsText" dxfId="1937" priority="2138" operator="containsText" text="Fully Achieved">
      <formula>NOT(ISERROR(SEARCH("Fully Achieved",I50)))</formula>
    </cfRule>
    <cfRule type="containsText" dxfId="1936" priority="2139" operator="containsText" text="Not yet due">
      <formula>NOT(ISERROR(SEARCH("Not yet due",I50)))</formula>
    </cfRule>
    <cfRule type="containsText" dxfId="1935" priority="2140" operator="containsText" text="Not Yet Due">
      <formula>NOT(ISERROR(SEARCH("Not Yet Due",I50)))</formula>
    </cfRule>
    <cfRule type="containsText" dxfId="1934" priority="2141" operator="containsText" text="Deferred">
      <formula>NOT(ISERROR(SEARCH("Deferred",I50)))</formula>
    </cfRule>
    <cfRule type="containsText" dxfId="1933" priority="2142" operator="containsText" text="Deleted">
      <formula>NOT(ISERROR(SEARCH("Deleted",I50)))</formula>
    </cfRule>
    <cfRule type="containsText" dxfId="1932" priority="2143" operator="containsText" text="In Danger of Falling Behind Target">
      <formula>NOT(ISERROR(SEARCH("In Danger of Falling Behind Target",I50)))</formula>
    </cfRule>
    <cfRule type="containsText" dxfId="1931" priority="2144" operator="containsText" text="Not yet due">
      <formula>NOT(ISERROR(SEARCH("Not yet due",I50)))</formula>
    </cfRule>
    <cfRule type="containsText" dxfId="1930" priority="2145" operator="containsText" text="Completed Behind Schedule">
      <formula>NOT(ISERROR(SEARCH("Completed Behind Schedule",I50)))</formula>
    </cfRule>
    <cfRule type="containsText" dxfId="1929" priority="2146" operator="containsText" text="Off Target">
      <formula>NOT(ISERROR(SEARCH("Off Target",I50)))</formula>
    </cfRule>
    <cfRule type="containsText" dxfId="1928" priority="2147" operator="containsText" text="In Danger of Falling Behind Target">
      <formula>NOT(ISERROR(SEARCH("In Danger of Falling Behind Target",I50)))</formula>
    </cfRule>
    <cfRule type="containsText" dxfId="1927" priority="2148" operator="containsText" text="On Track to be Achieved">
      <formula>NOT(ISERROR(SEARCH("On Track to be Achieved",I50)))</formula>
    </cfRule>
    <cfRule type="containsText" dxfId="1926" priority="2149" operator="containsText" text="Fully Achieved">
      <formula>NOT(ISERROR(SEARCH("Fully Achieved",I50)))</formula>
    </cfRule>
    <cfRule type="containsText" dxfId="1925" priority="2150" operator="containsText" text="Update not Provided">
      <formula>NOT(ISERROR(SEARCH("Update not Provided",I50)))</formula>
    </cfRule>
    <cfRule type="containsText" dxfId="1924" priority="2151" operator="containsText" text="Not yet due">
      <formula>NOT(ISERROR(SEARCH("Not yet due",I50)))</formula>
    </cfRule>
    <cfRule type="containsText" dxfId="1923" priority="2152" operator="containsText" text="Completed Behind Schedule">
      <formula>NOT(ISERROR(SEARCH("Completed Behind Schedule",I50)))</formula>
    </cfRule>
    <cfRule type="containsText" dxfId="1922" priority="2153" operator="containsText" text="Off Target">
      <formula>NOT(ISERROR(SEARCH("Off Target",I50)))</formula>
    </cfRule>
    <cfRule type="containsText" dxfId="1921" priority="2154" operator="containsText" text="In Danger of Falling Behind Target">
      <formula>NOT(ISERROR(SEARCH("In Danger of Falling Behind Target",I50)))</formula>
    </cfRule>
    <cfRule type="containsText" dxfId="1920" priority="2155" operator="containsText" text="On Track to be Achieved">
      <formula>NOT(ISERROR(SEARCH("On Track to be Achieved",I50)))</formula>
    </cfRule>
    <cfRule type="containsText" dxfId="1919" priority="2156" operator="containsText" text="Fully Achieved">
      <formula>NOT(ISERROR(SEARCH("Fully Achieved",I50)))</formula>
    </cfRule>
    <cfRule type="containsText" dxfId="1918" priority="2157" operator="containsText" text="Fully Achieved">
      <formula>NOT(ISERROR(SEARCH("Fully Achieved",I50)))</formula>
    </cfRule>
    <cfRule type="containsText" dxfId="1917" priority="2158" operator="containsText" text="Fully Achieved">
      <formula>NOT(ISERROR(SEARCH("Fully Achieved",I50)))</formula>
    </cfRule>
    <cfRule type="containsText" dxfId="1916" priority="2159" operator="containsText" text="Deferred">
      <formula>NOT(ISERROR(SEARCH("Deferred",I50)))</formula>
    </cfRule>
    <cfRule type="containsText" dxfId="1915" priority="2160" operator="containsText" text="Deleted">
      <formula>NOT(ISERROR(SEARCH("Deleted",I50)))</formula>
    </cfRule>
    <cfRule type="containsText" dxfId="1914" priority="2161" operator="containsText" text="In Danger of Falling Behind Target">
      <formula>NOT(ISERROR(SEARCH("In Danger of Falling Behind Target",I50)))</formula>
    </cfRule>
    <cfRule type="containsText" dxfId="1913" priority="2162" operator="containsText" text="Not yet due">
      <formula>NOT(ISERROR(SEARCH("Not yet due",I50)))</formula>
    </cfRule>
    <cfRule type="containsText" dxfId="1912" priority="2163" operator="containsText" text="Update not Provided">
      <formula>NOT(ISERROR(SEARCH("Update not Provided",I50)))</formula>
    </cfRule>
  </conditionalFormatting>
  <conditionalFormatting sqref="I50">
    <cfRule type="containsText" dxfId="1911" priority="2092" operator="containsText" text="On track to be achieved">
      <formula>NOT(ISERROR(SEARCH("On track to be achieved",I50)))</formula>
    </cfRule>
    <cfRule type="containsText" dxfId="1910" priority="2093" operator="containsText" text="Deferred">
      <formula>NOT(ISERROR(SEARCH("Deferred",I50)))</formula>
    </cfRule>
    <cfRule type="containsText" dxfId="1909" priority="2094" operator="containsText" text="Deleted">
      <formula>NOT(ISERROR(SEARCH("Deleted",I50)))</formula>
    </cfRule>
    <cfRule type="containsText" dxfId="1908" priority="2095" operator="containsText" text="In Danger of Falling Behind Target">
      <formula>NOT(ISERROR(SEARCH("In Danger of Falling Behind Target",I50)))</formula>
    </cfRule>
    <cfRule type="containsText" dxfId="1907" priority="2096" operator="containsText" text="Not yet due">
      <formula>NOT(ISERROR(SEARCH("Not yet due",I50)))</formula>
    </cfRule>
    <cfRule type="containsText" dxfId="1906" priority="2097" operator="containsText" text="Update not Provided">
      <formula>NOT(ISERROR(SEARCH("Update not Provided",I50)))</formula>
    </cfRule>
    <cfRule type="containsText" dxfId="1905" priority="2098" operator="containsText" text="Not yet due">
      <formula>NOT(ISERROR(SEARCH("Not yet due",I50)))</formula>
    </cfRule>
    <cfRule type="containsText" dxfId="1904" priority="2099" operator="containsText" text="Completed Behind Schedule">
      <formula>NOT(ISERROR(SEARCH("Completed Behind Schedule",I50)))</formula>
    </cfRule>
    <cfRule type="containsText" dxfId="1903" priority="2100" operator="containsText" text="Off Target">
      <formula>NOT(ISERROR(SEARCH("Off Target",I50)))</formula>
    </cfRule>
    <cfRule type="containsText" dxfId="1902" priority="2101" operator="containsText" text="On Track to be Achieved">
      <formula>NOT(ISERROR(SEARCH("On Track to be Achieved",I50)))</formula>
    </cfRule>
    <cfRule type="containsText" dxfId="1901" priority="2102" operator="containsText" text="Fully Achieved">
      <formula>NOT(ISERROR(SEARCH("Fully Achieved",I50)))</formula>
    </cfRule>
    <cfRule type="containsText" dxfId="1900" priority="2103" operator="containsText" text="Not yet due">
      <formula>NOT(ISERROR(SEARCH("Not yet due",I50)))</formula>
    </cfRule>
    <cfRule type="containsText" dxfId="1899" priority="2104" operator="containsText" text="Not Yet Due">
      <formula>NOT(ISERROR(SEARCH("Not Yet Due",I50)))</formula>
    </cfRule>
    <cfRule type="containsText" dxfId="1898" priority="2105" operator="containsText" text="Deferred">
      <formula>NOT(ISERROR(SEARCH("Deferred",I50)))</formula>
    </cfRule>
    <cfRule type="containsText" dxfId="1897" priority="2106" operator="containsText" text="Deleted">
      <formula>NOT(ISERROR(SEARCH("Deleted",I50)))</formula>
    </cfRule>
    <cfRule type="containsText" dxfId="1896" priority="2107" operator="containsText" text="In Danger of Falling Behind Target">
      <formula>NOT(ISERROR(SEARCH("In Danger of Falling Behind Target",I50)))</formula>
    </cfRule>
    <cfRule type="containsText" dxfId="1895" priority="2108" operator="containsText" text="Not yet due">
      <formula>NOT(ISERROR(SEARCH("Not yet due",I50)))</formula>
    </cfRule>
    <cfRule type="containsText" dxfId="1894" priority="2109" operator="containsText" text="Completed Behind Schedule">
      <formula>NOT(ISERROR(SEARCH("Completed Behind Schedule",I50)))</formula>
    </cfRule>
    <cfRule type="containsText" dxfId="1893" priority="2110" operator="containsText" text="Off Target">
      <formula>NOT(ISERROR(SEARCH("Off Target",I50)))</formula>
    </cfRule>
    <cfRule type="containsText" dxfId="1892" priority="2111" operator="containsText" text="In Danger of Falling Behind Target">
      <formula>NOT(ISERROR(SEARCH("In Danger of Falling Behind Target",I50)))</formula>
    </cfRule>
    <cfRule type="containsText" dxfId="1891" priority="2112" operator="containsText" text="On Track to be Achieved">
      <formula>NOT(ISERROR(SEARCH("On Track to be Achieved",I50)))</formula>
    </cfRule>
    <cfRule type="containsText" dxfId="1890" priority="2113" operator="containsText" text="Fully Achieved">
      <formula>NOT(ISERROR(SEARCH("Fully Achieved",I50)))</formula>
    </cfRule>
    <cfRule type="containsText" dxfId="1889" priority="2114" operator="containsText" text="Update not Provided">
      <formula>NOT(ISERROR(SEARCH("Update not Provided",I50)))</formula>
    </cfRule>
    <cfRule type="containsText" dxfId="1888" priority="2115" operator="containsText" text="Not yet due">
      <formula>NOT(ISERROR(SEARCH("Not yet due",I50)))</formula>
    </cfRule>
    <cfRule type="containsText" dxfId="1887" priority="2116" operator="containsText" text="Completed Behind Schedule">
      <formula>NOT(ISERROR(SEARCH("Completed Behind Schedule",I50)))</formula>
    </cfRule>
    <cfRule type="containsText" dxfId="1886" priority="2117" operator="containsText" text="Off Target">
      <formula>NOT(ISERROR(SEARCH("Off Target",I50)))</formula>
    </cfRule>
    <cfRule type="containsText" dxfId="1885" priority="2118" operator="containsText" text="In Danger of Falling Behind Target">
      <formula>NOT(ISERROR(SEARCH("In Danger of Falling Behind Target",I50)))</formula>
    </cfRule>
    <cfRule type="containsText" dxfId="1884" priority="2119" operator="containsText" text="On Track to be Achieved">
      <formula>NOT(ISERROR(SEARCH("On Track to be Achieved",I50)))</formula>
    </cfRule>
    <cfRule type="containsText" dxfId="1883" priority="2120" operator="containsText" text="Fully Achieved">
      <formula>NOT(ISERROR(SEARCH("Fully Achieved",I50)))</formula>
    </cfRule>
    <cfRule type="containsText" dxfId="1882" priority="2121" operator="containsText" text="Fully Achieved">
      <formula>NOT(ISERROR(SEARCH("Fully Achieved",I50)))</formula>
    </cfRule>
    <cfRule type="containsText" dxfId="1881" priority="2122" operator="containsText" text="Fully Achieved">
      <formula>NOT(ISERROR(SEARCH("Fully Achieved",I50)))</formula>
    </cfRule>
    <cfRule type="containsText" dxfId="1880" priority="2123" operator="containsText" text="Deferred">
      <formula>NOT(ISERROR(SEARCH("Deferred",I50)))</formula>
    </cfRule>
    <cfRule type="containsText" dxfId="1879" priority="2124" operator="containsText" text="Deleted">
      <formula>NOT(ISERROR(SEARCH("Deleted",I50)))</formula>
    </cfRule>
    <cfRule type="containsText" dxfId="1878" priority="2125" operator="containsText" text="In Danger of Falling Behind Target">
      <formula>NOT(ISERROR(SEARCH("In Danger of Falling Behind Target",I50)))</formula>
    </cfRule>
    <cfRule type="containsText" dxfId="1877" priority="2126" operator="containsText" text="Not yet due">
      <formula>NOT(ISERROR(SEARCH("Not yet due",I50)))</formula>
    </cfRule>
    <cfRule type="containsText" dxfId="1876" priority="2127" operator="containsText" text="Update not Provided">
      <formula>NOT(ISERROR(SEARCH("Update not Provided",I50)))</formula>
    </cfRule>
  </conditionalFormatting>
  <conditionalFormatting sqref="I50">
    <cfRule type="containsText" dxfId="1875" priority="2056" operator="containsText" text="On track to be achieved">
      <formula>NOT(ISERROR(SEARCH("On track to be achieved",I50)))</formula>
    </cfRule>
    <cfRule type="containsText" dxfId="1874" priority="2057" operator="containsText" text="Deferred">
      <formula>NOT(ISERROR(SEARCH("Deferred",I50)))</formula>
    </cfRule>
    <cfRule type="containsText" dxfId="1873" priority="2058" operator="containsText" text="Deleted">
      <formula>NOT(ISERROR(SEARCH("Deleted",I50)))</formula>
    </cfRule>
    <cfRule type="containsText" dxfId="1872" priority="2059" operator="containsText" text="In Danger of Falling Behind Target">
      <formula>NOT(ISERROR(SEARCH("In Danger of Falling Behind Target",I50)))</formula>
    </cfRule>
    <cfRule type="containsText" dxfId="1871" priority="2060" operator="containsText" text="Not yet due">
      <formula>NOT(ISERROR(SEARCH("Not yet due",I50)))</formula>
    </cfRule>
    <cfRule type="containsText" dxfId="1870" priority="2061" operator="containsText" text="Update not Provided">
      <formula>NOT(ISERROR(SEARCH("Update not Provided",I50)))</formula>
    </cfRule>
    <cfRule type="containsText" dxfId="1869" priority="2062" operator="containsText" text="Not yet due">
      <formula>NOT(ISERROR(SEARCH("Not yet due",I50)))</formula>
    </cfRule>
    <cfRule type="containsText" dxfId="1868" priority="2063" operator="containsText" text="Completed Behind Schedule">
      <formula>NOT(ISERROR(SEARCH("Completed Behind Schedule",I50)))</formula>
    </cfRule>
    <cfRule type="containsText" dxfId="1867" priority="2064" operator="containsText" text="Off Target">
      <formula>NOT(ISERROR(SEARCH("Off Target",I50)))</formula>
    </cfRule>
    <cfRule type="containsText" dxfId="1866" priority="2065" operator="containsText" text="On Track to be Achieved">
      <formula>NOT(ISERROR(SEARCH("On Track to be Achieved",I50)))</formula>
    </cfRule>
    <cfRule type="containsText" dxfId="1865" priority="2066" operator="containsText" text="Fully Achieved">
      <formula>NOT(ISERROR(SEARCH("Fully Achieved",I50)))</formula>
    </cfRule>
    <cfRule type="containsText" dxfId="1864" priority="2067" operator="containsText" text="Not yet due">
      <formula>NOT(ISERROR(SEARCH("Not yet due",I50)))</formula>
    </cfRule>
    <cfRule type="containsText" dxfId="1863" priority="2068" operator="containsText" text="Not Yet Due">
      <formula>NOT(ISERROR(SEARCH("Not Yet Due",I50)))</formula>
    </cfRule>
    <cfRule type="containsText" dxfId="1862" priority="2069" operator="containsText" text="Deferred">
      <formula>NOT(ISERROR(SEARCH("Deferred",I50)))</formula>
    </cfRule>
    <cfRule type="containsText" dxfId="1861" priority="2070" operator="containsText" text="Deleted">
      <formula>NOT(ISERROR(SEARCH("Deleted",I50)))</formula>
    </cfRule>
    <cfRule type="containsText" dxfId="1860" priority="2071" operator="containsText" text="In Danger of Falling Behind Target">
      <formula>NOT(ISERROR(SEARCH("In Danger of Falling Behind Target",I50)))</formula>
    </cfRule>
    <cfRule type="containsText" dxfId="1859" priority="2072" operator="containsText" text="Not yet due">
      <formula>NOT(ISERROR(SEARCH("Not yet due",I50)))</formula>
    </cfRule>
    <cfRule type="containsText" dxfId="1858" priority="2073" operator="containsText" text="Completed Behind Schedule">
      <formula>NOT(ISERROR(SEARCH("Completed Behind Schedule",I50)))</formula>
    </cfRule>
    <cfRule type="containsText" dxfId="1857" priority="2074" operator="containsText" text="Off Target">
      <formula>NOT(ISERROR(SEARCH("Off Target",I50)))</formula>
    </cfRule>
    <cfRule type="containsText" dxfId="1856" priority="2075" operator="containsText" text="In Danger of Falling Behind Target">
      <formula>NOT(ISERROR(SEARCH("In Danger of Falling Behind Target",I50)))</formula>
    </cfRule>
    <cfRule type="containsText" dxfId="1855" priority="2076" operator="containsText" text="On Track to be Achieved">
      <formula>NOT(ISERROR(SEARCH("On Track to be Achieved",I50)))</formula>
    </cfRule>
    <cfRule type="containsText" dxfId="1854" priority="2077" operator="containsText" text="Fully Achieved">
      <formula>NOT(ISERROR(SEARCH("Fully Achieved",I50)))</formula>
    </cfRule>
    <cfRule type="containsText" dxfId="1853" priority="2078" operator="containsText" text="Update not Provided">
      <formula>NOT(ISERROR(SEARCH("Update not Provided",I50)))</formula>
    </cfRule>
    <cfRule type="containsText" dxfId="1852" priority="2079" operator="containsText" text="Not yet due">
      <formula>NOT(ISERROR(SEARCH("Not yet due",I50)))</formula>
    </cfRule>
    <cfRule type="containsText" dxfId="1851" priority="2080" operator="containsText" text="Completed Behind Schedule">
      <formula>NOT(ISERROR(SEARCH("Completed Behind Schedule",I50)))</formula>
    </cfRule>
    <cfRule type="containsText" dxfId="1850" priority="2081" operator="containsText" text="Off Target">
      <formula>NOT(ISERROR(SEARCH("Off Target",I50)))</formula>
    </cfRule>
    <cfRule type="containsText" dxfId="1849" priority="2082" operator="containsText" text="In Danger of Falling Behind Target">
      <formula>NOT(ISERROR(SEARCH("In Danger of Falling Behind Target",I50)))</formula>
    </cfRule>
    <cfRule type="containsText" dxfId="1848" priority="2083" operator="containsText" text="On Track to be Achieved">
      <formula>NOT(ISERROR(SEARCH("On Track to be Achieved",I50)))</formula>
    </cfRule>
    <cfRule type="containsText" dxfId="1847" priority="2084" operator="containsText" text="Fully Achieved">
      <formula>NOT(ISERROR(SEARCH("Fully Achieved",I50)))</formula>
    </cfRule>
    <cfRule type="containsText" dxfId="1846" priority="2085" operator="containsText" text="Fully Achieved">
      <formula>NOT(ISERROR(SEARCH("Fully Achieved",I50)))</formula>
    </cfRule>
    <cfRule type="containsText" dxfId="1845" priority="2086" operator="containsText" text="Fully Achieved">
      <formula>NOT(ISERROR(SEARCH("Fully Achieved",I50)))</formula>
    </cfRule>
    <cfRule type="containsText" dxfId="1844" priority="2087" operator="containsText" text="Deferred">
      <formula>NOT(ISERROR(SEARCH("Deferred",I50)))</formula>
    </cfRule>
    <cfRule type="containsText" dxfId="1843" priority="2088" operator="containsText" text="Deleted">
      <formula>NOT(ISERROR(SEARCH("Deleted",I50)))</formula>
    </cfRule>
    <cfRule type="containsText" dxfId="1842" priority="2089" operator="containsText" text="In Danger of Falling Behind Target">
      <formula>NOT(ISERROR(SEARCH("In Danger of Falling Behind Target",I50)))</formula>
    </cfRule>
    <cfRule type="containsText" dxfId="1841" priority="2090" operator="containsText" text="Not yet due">
      <formula>NOT(ISERROR(SEARCH("Not yet due",I50)))</formula>
    </cfRule>
    <cfRule type="containsText" dxfId="1840" priority="2091" operator="containsText" text="Update not Provided">
      <formula>NOT(ISERROR(SEARCH("Update not Provided",I50)))</formula>
    </cfRule>
  </conditionalFormatting>
  <conditionalFormatting sqref="I51:I60">
    <cfRule type="containsText" dxfId="1839" priority="2020" operator="containsText" text="On track to be achieved">
      <formula>NOT(ISERROR(SEARCH("On track to be achieved",I51)))</formula>
    </cfRule>
    <cfRule type="containsText" dxfId="1838" priority="2021" operator="containsText" text="Deferred">
      <formula>NOT(ISERROR(SEARCH("Deferred",I51)))</formula>
    </cfRule>
    <cfRule type="containsText" dxfId="1837" priority="2022" operator="containsText" text="Deleted">
      <formula>NOT(ISERROR(SEARCH("Deleted",I51)))</formula>
    </cfRule>
    <cfRule type="containsText" dxfId="1836" priority="2023" operator="containsText" text="In Danger of Falling Behind Target">
      <formula>NOT(ISERROR(SEARCH("In Danger of Falling Behind Target",I51)))</formula>
    </cfRule>
    <cfRule type="containsText" dxfId="1835" priority="2024" operator="containsText" text="Not yet due">
      <formula>NOT(ISERROR(SEARCH("Not yet due",I51)))</formula>
    </cfRule>
    <cfRule type="containsText" dxfId="1834" priority="2025" operator="containsText" text="Update not Provided">
      <formula>NOT(ISERROR(SEARCH("Update not Provided",I51)))</formula>
    </cfRule>
    <cfRule type="containsText" dxfId="1833" priority="2026" operator="containsText" text="Not yet due">
      <formula>NOT(ISERROR(SEARCH("Not yet due",I51)))</formula>
    </cfRule>
    <cfRule type="containsText" dxfId="1832" priority="2027" operator="containsText" text="Completed Behind Schedule">
      <formula>NOT(ISERROR(SEARCH("Completed Behind Schedule",I51)))</formula>
    </cfRule>
    <cfRule type="containsText" dxfId="1831" priority="2028" operator="containsText" text="Off Target">
      <formula>NOT(ISERROR(SEARCH("Off Target",I51)))</formula>
    </cfRule>
    <cfRule type="containsText" dxfId="1830" priority="2029" operator="containsText" text="On Track to be Achieved">
      <formula>NOT(ISERROR(SEARCH("On Track to be Achieved",I51)))</formula>
    </cfRule>
    <cfRule type="containsText" dxfId="1829" priority="2030" operator="containsText" text="Fully Achieved">
      <formula>NOT(ISERROR(SEARCH("Fully Achieved",I51)))</formula>
    </cfRule>
    <cfRule type="containsText" dxfId="1828" priority="2031" operator="containsText" text="Not yet due">
      <formula>NOT(ISERROR(SEARCH("Not yet due",I51)))</formula>
    </cfRule>
    <cfRule type="containsText" dxfId="1827" priority="2032" operator="containsText" text="Not Yet Due">
      <formula>NOT(ISERROR(SEARCH("Not Yet Due",I51)))</formula>
    </cfRule>
    <cfRule type="containsText" dxfId="1826" priority="2033" operator="containsText" text="Deferred">
      <formula>NOT(ISERROR(SEARCH("Deferred",I51)))</formula>
    </cfRule>
    <cfRule type="containsText" dxfId="1825" priority="2034" operator="containsText" text="Deleted">
      <formula>NOT(ISERROR(SEARCH("Deleted",I51)))</formula>
    </cfRule>
    <cfRule type="containsText" dxfId="1824" priority="2035" operator="containsText" text="In Danger of Falling Behind Target">
      <formula>NOT(ISERROR(SEARCH("In Danger of Falling Behind Target",I51)))</formula>
    </cfRule>
    <cfRule type="containsText" dxfId="1823" priority="2036" operator="containsText" text="Not yet due">
      <formula>NOT(ISERROR(SEARCH("Not yet due",I51)))</formula>
    </cfRule>
    <cfRule type="containsText" dxfId="1822" priority="2037" operator="containsText" text="Completed Behind Schedule">
      <formula>NOT(ISERROR(SEARCH("Completed Behind Schedule",I51)))</formula>
    </cfRule>
    <cfRule type="containsText" dxfId="1821" priority="2038" operator="containsText" text="Off Target">
      <formula>NOT(ISERROR(SEARCH("Off Target",I51)))</formula>
    </cfRule>
    <cfRule type="containsText" dxfId="1820" priority="2039" operator="containsText" text="In Danger of Falling Behind Target">
      <formula>NOT(ISERROR(SEARCH("In Danger of Falling Behind Target",I51)))</formula>
    </cfRule>
    <cfRule type="containsText" dxfId="1819" priority="2040" operator="containsText" text="On Track to be Achieved">
      <formula>NOT(ISERROR(SEARCH("On Track to be Achieved",I51)))</formula>
    </cfRule>
    <cfRule type="containsText" dxfId="1818" priority="2041" operator="containsText" text="Fully Achieved">
      <formula>NOT(ISERROR(SEARCH("Fully Achieved",I51)))</formula>
    </cfRule>
    <cfRule type="containsText" dxfId="1817" priority="2042" operator="containsText" text="Update not Provided">
      <formula>NOT(ISERROR(SEARCH("Update not Provided",I51)))</formula>
    </cfRule>
    <cfRule type="containsText" dxfId="1816" priority="2043" operator="containsText" text="Not yet due">
      <formula>NOT(ISERROR(SEARCH("Not yet due",I51)))</formula>
    </cfRule>
    <cfRule type="containsText" dxfId="1815" priority="2044" operator="containsText" text="Completed Behind Schedule">
      <formula>NOT(ISERROR(SEARCH("Completed Behind Schedule",I51)))</formula>
    </cfRule>
    <cfRule type="containsText" dxfId="1814" priority="2045" operator="containsText" text="Off Target">
      <formula>NOT(ISERROR(SEARCH("Off Target",I51)))</formula>
    </cfRule>
    <cfRule type="containsText" dxfId="1813" priority="2046" operator="containsText" text="In Danger of Falling Behind Target">
      <formula>NOT(ISERROR(SEARCH("In Danger of Falling Behind Target",I51)))</formula>
    </cfRule>
    <cfRule type="containsText" dxfId="1812" priority="2047" operator="containsText" text="On Track to be Achieved">
      <formula>NOT(ISERROR(SEARCH("On Track to be Achieved",I51)))</formula>
    </cfRule>
    <cfRule type="containsText" dxfId="1811" priority="2048" operator="containsText" text="Fully Achieved">
      <formula>NOT(ISERROR(SEARCH("Fully Achieved",I51)))</formula>
    </cfRule>
    <cfRule type="containsText" dxfId="1810" priority="2049" operator="containsText" text="Fully Achieved">
      <formula>NOT(ISERROR(SEARCH("Fully Achieved",I51)))</formula>
    </cfRule>
    <cfRule type="containsText" dxfId="1809" priority="2050" operator="containsText" text="Fully Achieved">
      <formula>NOT(ISERROR(SEARCH("Fully Achieved",I51)))</formula>
    </cfRule>
    <cfRule type="containsText" dxfId="1808" priority="2051" operator="containsText" text="Deferred">
      <formula>NOT(ISERROR(SEARCH("Deferred",I51)))</formula>
    </cfRule>
    <cfRule type="containsText" dxfId="1807" priority="2052" operator="containsText" text="Deleted">
      <formula>NOT(ISERROR(SEARCH("Deleted",I51)))</formula>
    </cfRule>
    <cfRule type="containsText" dxfId="1806" priority="2053" operator="containsText" text="In Danger of Falling Behind Target">
      <formula>NOT(ISERROR(SEARCH("In Danger of Falling Behind Target",I51)))</formula>
    </cfRule>
    <cfRule type="containsText" dxfId="1805" priority="2054" operator="containsText" text="Not yet due">
      <formula>NOT(ISERROR(SEARCH("Not yet due",I51)))</formula>
    </cfRule>
    <cfRule type="containsText" dxfId="1804" priority="2055" operator="containsText" text="Update not Provided">
      <formula>NOT(ISERROR(SEARCH("Update not Provided",I51)))</formula>
    </cfRule>
  </conditionalFormatting>
  <conditionalFormatting sqref="I62:I68">
    <cfRule type="containsText" dxfId="1803" priority="1984" operator="containsText" text="On track to be achieved">
      <formula>NOT(ISERROR(SEARCH("On track to be achieved",I62)))</formula>
    </cfRule>
    <cfRule type="containsText" dxfId="1802" priority="1985" operator="containsText" text="Deferred">
      <formula>NOT(ISERROR(SEARCH("Deferred",I62)))</formula>
    </cfRule>
    <cfRule type="containsText" dxfId="1801" priority="1986" operator="containsText" text="Deleted">
      <formula>NOT(ISERROR(SEARCH("Deleted",I62)))</formula>
    </cfRule>
    <cfRule type="containsText" dxfId="1800" priority="1987" operator="containsText" text="In Danger of Falling Behind Target">
      <formula>NOT(ISERROR(SEARCH("In Danger of Falling Behind Target",I62)))</formula>
    </cfRule>
    <cfRule type="containsText" dxfId="1799" priority="1988" operator="containsText" text="Not yet due">
      <formula>NOT(ISERROR(SEARCH("Not yet due",I62)))</formula>
    </cfRule>
    <cfRule type="containsText" dxfId="1798" priority="1989" operator="containsText" text="Update not Provided">
      <formula>NOT(ISERROR(SEARCH("Update not Provided",I62)))</formula>
    </cfRule>
    <cfRule type="containsText" dxfId="1797" priority="1990" operator="containsText" text="Not yet due">
      <formula>NOT(ISERROR(SEARCH("Not yet due",I62)))</formula>
    </cfRule>
    <cfRule type="containsText" dxfId="1796" priority="1991" operator="containsText" text="Completed Behind Schedule">
      <formula>NOT(ISERROR(SEARCH("Completed Behind Schedule",I62)))</formula>
    </cfRule>
    <cfRule type="containsText" dxfId="1795" priority="1992" operator="containsText" text="Off Target">
      <formula>NOT(ISERROR(SEARCH("Off Target",I62)))</formula>
    </cfRule>
    <cfRule type="containsText" dxfId="1794" priority="1993" operator="containsText" text="On Track to be Achieved">
      <formula>NOT(ISERROR(SEARCH("On Track to be Achieved",I62)))</formula>
    </cfRule>
    <cfRule type="containsText" dxfId="1793" priority="1994" operator="containsText" text="Fully Achieved">
      <formula>NOT(ISERROR(SEARCH("Fully Achieved",I62)))</formula>
    </cfRule>
    <cfRule type="containsText" dxfId="1792" priority="1995" operator="containsText" text="Not yet due">
      <formula>NOT(ISERROR(SEARCH("Not yet due",I62)))</formula>
    </cfRule>
    <cfRule type="containsText" dxfId="1791" priority="1996" operator="containsText" text="Not Yet Due">
      <formula>NOT(ISERROR(SEARCH("Not Yet Due",I62)))</formula>
    </cfRule>
    <cfRule type="containsText" dxfId="1790" priority="1997" operator="containsText" text="Deferred">
      <formula>NOT(ISERROR(SEARCH("Deferred",I62)))</formula>
    </cfRule>
    <cfRule type="containsText" dxfId="1789" priority="1998" operator="containsText" text="Deleted">
      <formula>NOT(ISERROR(SEARCH("Deleted",I62)))</formula>
    </cfRule>
    <cfRule type="containsText" dxfId="1788" priority="1999" operator="containsText" text="In Danger of Falling Behind Target">
      <formula>NOT(ISERROR(SEARCH("In Danger of Falling Behind Target",I62)))</formula>
    </cfRule>
    <cfRule type="containsText" dxfId="1787" priority="2000" operator="containsText" text="Not yet due">
      <formula>NOT(ISERROR(SEARCH("Not yet due",I62)))</formula>
    </cfRule>
    <cfRule type="containsText" dxfId="1786" priority="2001" operator="containsText" text="Completed Behind Schedule">
      <formula>NOT(ISERROR(SEARCH("Completed Behind Schedule",I62)))</formula>
    </cfRule>
    <cfRule type="containsText" dxfId="1785" priority="2002" operator="containsText" text="Off Target">
      <formula>NOT(ISERROR(SEARCH("Off Target",I62)))</formula>
    </cfRule>
    <cfRule type="containsText" dxfId="1784" priority="2003" operator="containsText" text="In Danger of Falling Behind Target">
      <formula>NOT(ISERROR(SEARCH("In Danger of Falling Behind Target",I62)))</formula>
    </cfRule>
    <cfRule type="containsText" dxfId="1783" priority="2004" operator="containsText" text="On Track to be Achieved">
      <formula>NOT(ISERROR(SEARCH("On Track to be Achieved",I62)))</formula>
    </cfRule>
    <cfRule type="containsText" dxfId="1782" priority="2005" operator="containsText" text="Fully Achieved">
      <formula>NOT(ISERROR(SEARCH("Fully Achieved",I62)))</formula>
    </cfRule>
    <cfRule type="containsText" dxfId="1781" priority="2006" operator="containsText" text="Update not Provided">
      <formula>NOT(ISERROR(SEARCH("Update not Provided",I62)))</formula>
    </cfRule>
    <cfRule type="containsText" dxfId="1780" priority="2007" operator="containsText" text="Not yet due">
      <formula>NOT(ISERROR(SEARCH("Not yet due",I62)))</formula>
    </cfRule>
    <cfRule type="containsText" dxfId="1779" priority="2008" operator="containsText" text="Completed Behind Schedule">
      <formula>NOT(ISERROR(SEARCH("Completed Behind Schedule",I62)))</formula>
    </cfRule>
    <cfRule type="containsText" dxfId="1778" priority="2009" operator="containsText" text="Off Target">
      <formula>NOT(ISERROR(SEARCH("Off Target",I62)))</formula>
    </cfRule>
    <cfRule type="containsText" dxfId="1777" priority="2010" operator="containsText" text="In Danger of Falling Behind Target">
      <formula>NOT(ISERROR(SEARCH("In Danger of Falling Behind Target",I62)))</formula>
    </cfRule>
    <cfRule type="containsText" dxfId="1776" priority="2011" operator="containsText" text="On Track to be Achieved">
      <formula>NOT(ISERROR(SEARCH("On Track to be Achieved",I62)))</formula>
    </cfRule>
    <cfRule type="containsText" dxfId="1775" priority="2012" operator="containsText" text="Fully Achieved">
      <formula>NOT(ISERROR(SEARCH("Fully Achieved",I62)))</formula>
    </cfRule>
    <cfRule type="containsText" dxfId="1774" priority="2013" operator="containsText" text="Fully Achieved">
      <formula>NOT(ISERROR(SEARCH("Fully Achieved",I62)))</formula>
    </cfRule>
    <cfRule type="containsText" dxfId="1773" priority="2014" operator="containsText" text="Fully Achieved">
      <formula>NOT(ISERROR(SEARCH("Fully Achieved",I62)))</formula>
    </cfRule>
    <cfRule type="containsText" dxfId="1772" priority="2015" operator="containsText" text="Deferred">
      <formula>NOT(ISERROR(SEARCH("Deferred",I62)))</formula>
    </cfRule>
    <cfRule type="containsText" dxfId="1771" priority="2016" operator="containsText" text="Deleted">
      <formula>NOT(ISERROR(SEARCH("Deleted",I62)))</formula>
    </cfRule>
    <cfRule type="containsText" dxfId="1770" priority="2017" operator="containsText" text="In Danger of Falling Behind Target">
      <formula>NOT(ISERROR(SEARCH("In Danger of Falling Behind Target",I62)))</formula>
    </cfRule>
    <cfRule type="containsText" dxfId="1769" priority="2018" operator="containsText" text="Not yet due">
      <formula>NOT(ISERROR(SEARCH("Not yet due",I62)))</formula>
    </cfRule>
    <cfRule type="containsText" dxfId="1768" priority="2019" operator="containsText" text="Update not Provided">
      <formula>NOT(ISERROR(SEARCH("Update not Provided",I62)))</formula>
    </cfRule>
  </conditionalFormatting>
  <conditionalFormatting sqref="I69">
    <cfRule type="containsText" dxfId="1767" priority="1948" operator="containsText" text="On track to be achieved">
      <formula>NOT(ISERROR(SEARCH("On track to be achieved",I69)))</formula>
    </cfRule>
    <cfRule type="containsText" dxfId="1766" priority="1949" operator="containsText" text="Deferred">
      <formula>NOT(ISERROR(SEARCH("Deferred",I69)))</formula>
    </cfRule>
    <cfRule type="containsText" dxfId="1765" priority="1950" operator="containsText" text="Deleted">
      <formula>NOT(ISERROR(SEARCH("Deleted",I69)))</formula>
    </cfRule>
    <cfRule type="containsText" dxfId="1764" priority="1951" operator="containsText" text="In Danger of Falling Behind Target">
      <formula>NOT(ISERROR(SEARCH("In Danger of Falling Behind Target",I69)))</formula>
    </cfRule>
    <cfRule type="containsText" dxfId="1763" priority="1952" operator="containsText" text="Not yet due">
      <formula>NOT(ISERROR(SEARCH("Not yet due",I69)))</formula>
    </cfRule>
    <cfRule type="containsText" dxfId="1762" priority="1953" operator="containsText" text="Update not Provided">
      <formula>NOT(ISERROR(SEARCH("Update not Provided",I69)))</formula>
    </cfRule>
    <cfRule type="containsText" dxfId="1761" priority="1954" operator="containsText" text="Not yet due">
      <formula>NOT(ISERROR(SEARCH("Not yet due",I69)))</formula>
    </cfRule>
    <cfRule type="containsText" dxfId="1760" priority="1955" operator="containsText" text="Completed Behind Schedule">
      <formula>NOT(ISERROR(SEARCH("Completed Behind Schedule",I69)))</formula>
    </cfRule>
    <cfRule type="containsText" dxfId="1759" priority="1956" operator="containsText" text="Off Target">
      <formula>NOT(ISERROR(SEARCH("Off Target",I69)))</formula>
    </cfRule>
    <cfRule type="containsText" dxfId="1758" priority="1957" operator="containsText" text="On Track to be Achieved">
      <formula>NOT(ISERROR(SEARCH("On Track to be Achieved",I69)))</formula>
    </cfRule>
    <cfRule type="containsText" dxfId="1757" priority="1958" operator="containsText" text="Fully Achieved">
      <formula>NOT(ISERROR(SEARCH("Fully Achieved",I69)))</formula>
    </cfRule>
    <cfRule type="containsText" dxfId="1756" priority="1959" operator="containsText" text="Not yet due">
      <formula>NOT(ISERROR(SEARCH("Not yet due",I69)))</formula>
    </cfRule>
    <cfRule type="containsText" dxfId="1755" priority="1960" operator="containsText" text="Not Yet Due">
      <formula>NOT(ISERROR(SEARCH("Not Yet Due",I69)))</formula>
    </cfRule>
    <cfRule type="containsText" dxfId="1754" priority="1961" operator="containsText" text="Deferred">
      <formula>NOT(ISERROR(SEARCH("Deferred",I69)))</formula>
    </cfRule>
    <cfRule type="containsText" dxfId="1753" priority="1962" operator="containsText" text="Deleted">
      <formula>NOT(ISERROR(SEARCH("Deleted",I69)))</formula>
    </cfRule>
    <cfRule type="containsText" dxfId="1752" priority="1963" operator="containsText" text="In Danger of Falling Behind Target">
      <formula>NOT(ISERROR(SEARCH("In Danger of Falling Behind Target",I69)))</formula>
    </cfRule>
    <cfRule type="containsText" dxfId="1751" priority="1964" operator="containsText" text="Not yet due">
      <formula>NOT(ISERROR(SEARCH("Not yet due",I69)))</formula>
    </cfRule>
    <cfRule type="containsText" dxfId="1750" priority="1965" operator="containsText" text="Completed Behind Schedule">
      <formula>NOT(ISERROR(SEARCH("Completed Behind Schedule",I69)))</formula>
    </cfRule>
    <cfRule type="containsText" dxfId="1749" priority="1966" operator="containsText" text="Off Target">
      <formula>NOT(ISERROR(SEARCH("Off Target",I69)))</formula>
    </cfRule>
    <cfRule type="containsText" dxfId="1748" priority="1967" operator="containsText" text="In Danger of Falling Behind Target">
      <formula>NOT(ISERROR(SEARCH("In Danger of Falling Behind Target",I69)))</formula>
    </cfRule>
    <cfRule type="containsText" dxfId="1747" priority="1968" operator="containsText" text="On Track to be Achieved">
      <formula>NOT(ISERROR(SEARCH("On Track to be Achieved",I69)))</formula>
    </cfRule>
    <cfRule type="containsText" dxfId="1746" priority="1969" operator="containsText" text="Fully Achieved">
      <formula>NOT(ISERROR(SEARCH("Fully Achieved",I69)))</formula>
    </cfRule>
    <cfRule type="containsText" dxfId="1745" priority="1970" operator="containsText" text="Update not Provided">
      <formula>NOT(ISERROR(SEARCH("Update not Provided",I69)))</formula>
    </cfRule>
    <cfRule type="containsText" dxfId="1744" priority="1971" operator="containsText" text="Not yet due">
      <formula>NOT(ISERROR(SEARCH("Not yet due",I69)))</formula>
    </cfRule>
    <cfRule type="containsText" dxfId="1743" priority="1972" operator="containsText" text="Completed Behind Schedule">
      <formula>NOT(ISERROR(SEARCH("Completed Behind Schedule",I69)))</formula>
    </cfRule>
    <cfRule type="containsText" dxfId="1742" priority="1973" operator="containsText" text="Off Target">
      <formula>NOT(ISERROR(SEARCH("Off Target",I69)))</formula>
    </cfRule>
    <cfRule type="containsText" dxfId="1741" priority="1974" operator="containsText" text="In Danger of Falling Behind Target">
      <formula>NOT(ISERROR(SEARCH("In Danger of Falling Behind Target",I69)))</formula>
    </cfRule>
    <cfRule type="containsText" dxfId="1740" priority="1975" operator="containsText" text="On Track to be Achieved">
      <formula>NOT(ISERROR(SEARCH("On Track to be Achieved",I69)))</formula>
    </cfRule>
    <cfRule type="containsText" dxfId="1739" priority="1976" operator="containsText" text="Fully Achieved">
      <formula>NOT(ISERROR(SEARCH("Fully Achieved",I69)))</formula>
    </cfRule>
    <cfRule type="containsText" dxfId="1738" priority="1977" operator="containsText" text="Fully Achieved">
      <formula>NOT(ISERROR(SEARCH("Fully Achieved",I69)))</formula>
    </cfRule>
    <cfRule type="containsText" dxfId="1737" priority="1978" operator="containsText" text="Fully Achieved">
      <formula>NOT(ISERROR(SEARCH("Fully Achieved",I69)))</formula>
    </cfRule>
    <cfRule type="containsText" dxfId="1736" priority="1979" operator="containsText" text="Deferred">
      <formula>NOT(ISERROR(SEARCH("Deferred",I69)))</formula>
    </cfRule>
    <cfRule type="containsText" dxfId="1735" priority="1980" operator="containsText" text="Deleted">
      <formula>NOT(ISERROR(SEARCH("Deleted",I69)))</formula>
    </cfRule>
    <cfRule type="containsText" dxfId="1734" priority="1981" operator="containsText" text="In Danger of Falling Behind Target">
      <formula>NOT(ISERROR(SEARCH("In Danger of Falling Behind Target",I69)))</formula>
    </cfRule>
    <cfRule type="containsText" dxfId="1733" priority="1982" operator="containsText" text="Not yet due">
      <formula>NOT(ISERROR(SEARCH("Not yet due",I69)))</formula>
    </cfRule>
    <cfRule type="containsText" dxfId="1732" priority="1983" operator="containsText" text="Update not Provided">
      <formula>NOT(ISERROR(SEARCH("Update not Provided",I69)))</formula>
    </cfRule>
  </conditionalFormatting>
  <conditionalFormatting sqref="I69">
    <cfRule type="containsText" dxfId="1731" priority="1912" operator="containsText" text="On track to be achieved">
      <formula>NOT(ISERROR(SEARCH("On track to be achieved",I69)))</formula>
    </cfRule>
    <cfRule type="containsText" dxfId="1730" priority="1913" operator="containsText" text="Deferred">
      <formula>NOT(ISERROR(SEARCH("Deferred",I69)))</formula>
    </cfRule>
    <cfRule type="containsText" dxfId="1729" priority="1914" operator="containsText" text="Deleted">
      <formula>NOT(ISERROR(SEARCH("Deleted",I69)))</formula>
    </cfRule>
    <cfRule type="containsText" dxfId="1728" priority="1915" operator="containsText" text="In Danger of Falling Behind Target">
      <formula>NOT(ISERROR(SEARCH("In Danger of Falling Behind Target",I69)))</formula>
    </cfRule>
    <cfRule type="containsText" dxfId="1727" priority="1916" operator="containsText" text="Not yet due">
      <formula>NOT(ISERROR(SEARCH("Not yet due",I69)))</formula>
    </cfRule>
    <cfRule type="containsText" dxfId="1726" priority="1917" operator="containsText" text="Update not Provided">
      <formula>NOT(ISERROR(SEARCH("Update not Provided",I69)))</formula>
    </cfRule>
    <cfRule type="containsText" dxfId="1725" priority="1918" operator="containsText" text="Not yet due">
      <formula>NOT(ISERROR(SEARCH("Not yet due",I69)))</formula>
    </cfRule>
    <cfRule type="containsText" dxfId="1724" priority="1919" operator="containsText" text="Completed Behind Schedule">
      <formula>NOT(ISERROR(SEARCH("Completed Behind Schedule",I69)))</formula>
    </cfRule>
    <cfRule type="containsText" dxfId="1723" priority="1920" operator="containsText" text="Off Target">
      <formula>NOT(ISERROR(SEARCH("Off Target",I69)))</formula>
    </cfRule>
    <cfRule type="containsText" dxfId="1722" priority="1921" operator="containsText" text="On Track to be Achieved">
      <formula>NOT(ISERROR(SEARCH("On Track to be Achieved",I69)))</formula>
    </cfRule>
    <cfRule type="containsText" dxfId="1721" priority="1922" operator="containsText" text="Fully Achieved">
      <formula>NOT(ISERROR(SEARCH("Fully Achieved",I69)))</formula>
    </cfRule>
    <cfRule type="containsText" dxfId="1720" priority="1923" operator="containsText" text="Not yet due">
      <formula>NOT(ISERROR(SEARCH("Not yet due",I69)))</formula>
    </cfRule>
    <cfRule type="containsText" dxfId="1719" priority="1924" operator="containsText" text="Not Yet Due">
      <formula>NOT(ISERROR(SEARCH("Not Yet Due",I69)))</formula>
    </cfRule>
    <cfRule type="containsText" dxfId="1718" priority="1925" operator="containsText" text="Deferred">
      <formula>NOT(ISERROR(SEARCH("Deferred",I69)))</formula>
    </cfRule>
    <cfRule type="containsText" dxfId="1717" priority="1926" operator="containsText" text="Deleted">
      <formula>NOT(ISERROR(SEARCH("Deleted",I69)))</formula>
    </cfRule>
    <cfRule type="containsText" dxfId="1716" priority="1927" operator="containsText" text="In Danger of Falling Behind Target">
      <formula>NOT(ISERROR(SEARCH("In Danger of Falling Behind Target",I69)))</formula>
    </cfRule>
    <cfRule type="containsText" dxfId="1715" priority="1928" operator="containsText" text="Not yet due">
      <formula>NOT(ISERROR(SEARCH("Not yet due",I69)))</formula>
    </cfRule>
    <cfRule type="containsText" dxfId="1714" priority="1929" operator="containsText" text="Completed Behind Schedule">
      <formula>NOT(ISERROR(SEARCH("Completed Behind Schedule",I69)))</formula>
    </cfRule>
    <cfRule type="containsText" dxfId="1713" priority="1930" operator="containsText" text="Off Target">
      <formula>NOT(ISERROR(SEARCH("Off Target",I69)))</formula>
    </cfRule>
    <cfRule type="containsText" dxfId="1712" priority="1931" operator="containsText" text="In Danger of Falling Behind Target">
      <formula>NOT(ISERROR(SEARCH("In Danger of Falling Behind Target",I69)))</formula>
    </cfRule>
    <cfRule type="containsText" dxfId="1711" priority="1932" operator="containsText" text="On Track to be Achieved">
      <formula>NOT(ISERROR(SEARCH("On Track to be Achieved",I69)))</formula>
    </cfRule>
    <cfRule type="containsText" dxfId="1710" priority="1933" operator="containsText" text="Fully Achieved">
      <formula>NOT(ISERROR(SEARCH("Fully Achieved",I69)))</formula>
    </cfRule>
    <cfRule type="containsText" dxfId="1709" priority="1934" operator="containsText" text="Update not Provided">
      <formula>NOT(ISERROR(SEARCH("Update not Provided",I69)))</formula>
    </cfRule>
    <cfRule type="containsText" dxfId="1708" priority="1935" operator="containsText" text="Not yet due">
      <formula>NOT(ISERROR(SEARCH("Not yet due",I69)))</formula>
    </cfRule>
    <cfRule type="containsText" dxfId="1707" priority="1936" operator="containsText" text="Completed Behind Schedule">
      <formula>NOT(ISERROR(SEARCH("Completed Behind Schedule",I69)))</formula>
    </cfRule>
    <cfRule type="containsText" dxfId="1706" priority="1937" operator="containsText" text="Off Target">
      <formula>NOT(ISERROR(SEARCH("Off Target",I69)))</formula>
    </cfRule>
    <cfRule type="containsText" dxfId="1705" priority="1938" operator="containsText" text="In Danger of Falling Behind Target">
      <formula>NOT(ISERROR(SEARCH("In Danger of Falling Behind Target",I69)))</formula>
    </cfRule>
    <cfRule type="containsText" dxfId="1704" priority="1939" operator="containsText" text="On Track to be Achieved">
      <formula>NOT(ISERROR(SEARCH("On Track to be Achieved",I69)))</formula>
    </cfRule>
    <cfRule type="containsText" dxfId="1703" priority="1940" operator="containsText" text="Fully Achieved">
      <formula>NOT(ISERROR(SEARCH("Fully Achieved",I69)))</formula>
    </cfRule>
    <cfRule type="containsText" dxfId="1702" priority="1941" operator="containsText" text="Fully Achieved">
      <formula>NOT(ISERROR(SEARCH("Fully Achieved",I69)))</formula>
    </cfRule>
    <cfRule type="containsText" dxfId="1701" priority="1942" operator="containsText" text="Fully Achieved">
      <formula>NOT(ISERROR(SEARCH("Fully Achieved",I69)))</formula>
    </cfRule>
    <cfRule type="containsText" dxfId="1700" priority="1943" operator="containsText" text="Deferred">
      <formula>NOT(ISERROR(SEARCH("Deferred",I69)))</formula>
    </cfRule>
    <cfRule type="containsText" dxfId="1699" priority="1944" operator="containsText" text="Deleted">
      <formula>NOT(ISERROR(SEARCH("Deleted",I69)))</formula>
    </cfRule>
    <cfRule type="containsText" dxfId="1698" priority="1945" operator="containsText" text="In Danger of Falling Behind Target">
      <formula>NOT(ISERROR(SEARCH("In Danger of Falling Behind Target",I69)))</formula>
    </cfRule>
    <cfRule type="containsText" dxfId="1697" priority="1946" operator="containsText" text="Not yet due">
      <formula>NOT(ISERROR(SEARCH("Not yet due",I69)))</formula>
    </cfRule>
    <cfRule type="containsText" dxfId="1696" priority="1947" operator="containsText" text="Update not Provided">
      <formula>NOT(ISERROR(SEARCH("Update not Provided",I69)))</formula>
    </cfRule>
  </conditionalFormatting>
  <conditionalFormatting sqref="I69">
    <cfRule type="containsText" dxfId="1695" priority="1876" operator="containsText" text="On track to be achieved">
      <formula>NOT(ISERROR(SEARCH("On track to be achieved",I69)))</formula>
    </cfRule>
    <cfRule type="containsText" dxfId="1694" priority="1877" operator="containsText" text="Deferred">
      <formula>NOT(ISERROR(SEARCH("Deferred",I69)))</formula>
    </cfRule>
    <cfRule type="containsText" dxfId="1693" priority="1878" operator="containsText" text="Deleted">
      <formula>NOT(ISERROR(SEARCH("Deleted",I69)))</formula>
    </cfRule>
    <cfRule type="containsText" dxfId="1692" priority="1879" operator="containsText" text="In Danger of Falling Behind Target">
      <formula>NOT(ISERROR(SEARCH("In Danger of Falling Behind Target",I69)))</formula>
    </cfRule>
    <cfRule type="containsText" dxfId="1691" priority="1880" operator="containsText" text="Not yet due">
      <formula>NOT(ISERROR(SEARCH("Not yet due",I69)))</formula>
    </cfRule>
    <cfRule type="containsText" dxfId="1690" priority="1881" operator="containsText" text="Update not Provided">
      <formula>NOT(ISERROR(SEARCH("Update not Provided",I69)))</formula>
    </cfRule>
    <cfRule type="containsText" dxfId="1689" priority="1882" operator="containsText" text="Not yet due">
      <formula>NOT(ISERROR(SEARCH("Not yet due",I69)))</formula>
    </cfRule>
    <cfRule type="containsText" dxfId="1688" priority="1883" operator="containsText" text="Completed Behind Schedule">
      <formula>NOT(ISERROR(SEARCH("Completed Behind Schedule",I69)))</formula>
    </cfRule>
    <cfRule type="containsText" dxfId="1687" priority="1884" operator="containsText" text="Off Target">
      <formula>NOT(ISERROR(SEARCH("Off Target",I69)))</formula>
    </cfRule>
    <cfRule type="containsText" dxfId="1686" priority="1885" operator="containsText" text="On Track to be Achieved">
      <formula>NOT(ISERROR(SEARCH("On Track to be Achieved",I69)))</formula>
    </cfRule>
    <cfRule type="containsText" dxfId="1685" priority="1886" operator="containsText" text="Fully Achieved">
      <formula>NOT(ISERROR(SEARCH("Fully Achieved",I69)))</formula>
    </cfRule>
    <cfRule type="containsText" dxfId="1684" priority="1887" operator="containsText" text="Not yet due">
      <formula>NOT(ISERROR(SEARCH("Not yet due",I69)))</formula>
    </cfRule>
    <cfRule type="containsText" dxfId="1683" priority="1888" operator="containsText" text="Not Yet Due">
      <formula>NOT(ISERROR(SEARCH("Not Yet Due",I69)))</formula>
    </cfRule>
    <cfRule type="containsText" dxfId="1682" priority="1889" operator="containsText" text="Deferred">
      <formula>NOT(ISERROR(SEARCH("Deferred",I69)))</formula>
    </cfRule>
    <cfRule type="containsText" dxfId="1681" priority="1890" operator="containsText" text="Deleted">
      <formula>NOT(ISERROR(SEARCH("Deleted",I69)))</formula>
    </cfRule>
    <cfRule type="containsText" dxfId="1680" priority="1891" operator="containsText" text="In Danger of Falling Behind Target">
      <formula>NOT(ISERROR(SEARCH("In Danger of Falling Behind Target",I69)))</formula>
    </cfRule>
    <cfRule type="containsText" dxfId="1679" priority="1892" operator="containsText" text="Not yet due">
      <formula>NOT(ISERROR(SEARCH("Not yet due",I69)))</formula>
    </cfRule>
    <cfRule type="containsText" dxfId="1678" priority="1893" operator="containsText" text="Completed Behind Schedule">
      <formula>NOT(ISERROR(SEARCH("Completed Behind Schedule",I69)))</formula>
    </cfRule>
    <cfRule type="containsText" dxfId="1677" priority="1894" operator="containsText" text="Off Target">
      <formula>NOT(ISERROR(SEARCH("Off Target",I69)))</formula>
    </cfRule>
    <cfRule type="containsText" dxfId="1676" priority="1895" operator="containsText" text="In Danger of Falling Behind Target">
      <formula>NOT(ISERROR(SEARCH("In Danger of Falling Behind Target",I69)))</formula>
    </cfRule>
    <cfRule type="containsText" dxfId="1675" priority="1896" operator="containsText" text="On Track to be Achieved">
      <formula>NOT(ISERROR(SEARCH("On Track to be Achieved",I69)))</formula>
    </cfRule>
    <cfRule type="containsText" dxfId="1674" priority="1897" operator="containsText" text="Fully Achieved">
      <formula>NOT(ISERROR(SEARCH("Fully Achieved",I69)))</formula>
    </cfRule>
    <cfRule type="containsText" dxfId="1673" priority="1898" operator="containsText" text="Update not Provided">
      <formula>NOT(ISERROR(SEARCH("Update not Provided",I69)))</formula>
    </cfRule>
    <cfRule type="containsText" dxfId="1672" priority="1899" operator="containsText" text="Not yet due">
      <formula>NOT(ISERROR(SEARCH("Not yet due",I69)))</formula>
    </cfRule>
    <cfRule type="containsText" dxfId="1671" priority="1900" operator="containsText" text="Completed Behind Schedule">
      <formula>NOT(ISERROR(SEARCH("Completed Behind Schedule",I69)))</formula>
    </cfRule>
    <cfRule type="containsText" dxfId="1670" priority="1901" operator="containsText" text="Off Target">
      <formula>NOT(ISERROR(SEARCH("Off Target",I69)))</formula>
    </cfRule>
    <cfRule type="containsText" dxfId="1669" priority="1902" operator="containsText" text="In Danger of Falling Behind Target">
      <formula>NOT(ISERROR(SEARCH("In Danger of Falling Behind Target",I69)))</formula>
    </cfRule>
    <cfRule type="containsText" dxfId="1668" priority="1903" operator="containsText" text="On Track to be Achieved">
      <formula>NOT(ISERROR(SEARCH("On Track to be Achieved",I69)))</formula>
    </cfRule>
    <cfRule type="containsText" dxfId="1667" priority="1904" operator="containsText" text="Fully Achieved">
      <formula>NOT(ISERROR(SEARCH("Fully Achieved",I69)))</formula>
    </cfRule>
    <cfRule type="containsText" dxfId="1666" priority="1905" operator="containsText" text="Fully Achieved">
      <formula>NOT(ISERROR(SEARCH("Fully Achieved",I69)))</formula>
    </cfRule>
    <cfRule type="containsText" dxfId="1665" priority="1906" operator="containsText" text="Fully Achieved">
      <formula>NOT(ISERROR(SEARCH("Fully Achieved",I69)))</formula>
    </cfRule>
    <cfRule type="containsText" dxfId="1664" priority="1907" operator="containsText" text="Deferred">
      <formula>NOT(ISERROR(SEARCH("Deferred",I69)))</formula>
    </cfRule>
    <cfRule type="containsText" dxfId="1663" priority="1908" operator="containsText" text="Deleted">
      <formula>NOT(ISERROR(SEARCH("Deleted",I69)))</formula>
    </cfRule>
    <cfRule type="containsText" dxfId="1662" priority="1909" operator="containsText" text="In Danger of Falling Behind Target">
      <formula>NOT(ISERROR(SEARCH("In Danger of Falling Behind Target",I69)))</formula>
    </cfRule>
    <cfRule type="containsText" dxfId="1661" priority="1910" operator="containsText" text="Not yet due">
      <formula>NOT(ISERROR(SEARCH("Not yet due",I69)))</formula>
    </cfRule>
    <cfRule type="containsText" dxfId="1660" priority="1911" operator="containsText" text="Update not Provided">
      <formula>NOT(ISERROR(SEARCH("Update not Provided",I69)))</formula>
    </cfRule>
  </conditionalFormatting>
  <conditionalFormatting sqref="I69">
    <cfRule type="containsText" dxfId="1659" priority="1840" operator="containsText" text="On track to be achieved">
      <formula>NOT(ISERROR(SEARCH("On track to be achieved",I69)))</formula>
    </cfRule>
    <cfRule type="containsText" dxfId="1658" priority="1841" operator="containsText" text="Deferred">
      <formula>NOT(ISERROR(SEARCH("Deferred",I69)))</formula>
    </cfRule>
    <cfRule type="containsText" dxfId="1657" priority="1842" operator="containsText" text="Deleted">
      <formula>NOT(ISERROR(SEARCH("Deleted",I69)))</formula>
    </cfRule>
    <cfRule type="containsText" dxfId="1656" priority="1843" operator="containsText" text="In Danger of Falling Behind Target">
      <formula>NOT(ISERROR(SEARCH("In Danger of Falling Behind Target",I69)))</formula>
    </cfRule>
    <cfRule type="containsText" dxfId="1655" priority="1844" operator="containsText" text="Not yet due">
      <formula>NOT(ISERROR(SEARCH("Not yet due",I69)))</formula>
    </cfRule>
    <cfRule type="containsText" dxfId="1654" priority="1845" operator="containsText" text="Update not Provided">
      <formula>NOT(ISERROR(SEARCH("Update not Provided",I69)))</formula>
    </cfRule>
    <cfRule type="containsText" dxfId="1653" priority="1846" operator="containsText" text="Not yet due">
      <formula>NOT(ISERROR(SEARCH("Not yet due",I69)))</formula>
    </cfRule>
    <cfRule type="containsText" dxfId="1652" priority="1847" operator="containsText" text="Completed Behind Schedule">
      <formula>NOT(ISERROR(SEARCH("Completed Behind Schedule",I69)))</formula>
    </cfRule>
    <cfRule type="containsText" dxfId="1651" priority="1848" operator="containsText" text="Off Target">
      <formula>NOT(ISERROR(SEARCH("Off Target",I69)))</formula>
    </cfRule>
    <cfRule type="containsText" dxfId="1650" priority="1849" operator="containsText" text="On Track to be Achieved">
      <formula>NOT(ISERROR(SEARCH("On Track to be Achieved",I69)))</formula>
    </cfRule>
    <cfRule type="containsText" dxfId="1649" priority="1850" operator="containsText" text="Fully Achieved">
      <formula>NOT(ISERROR(SEARCH("Fully Achieved",I69)))</formula>
    </cfRule>
    <cfRule type="containsText" dxfId="1648" priority="1851" operator="containsText" text="Not yet due">
      <formula>NOT(ISERROR(SEARCH("Not yet due",I69)))</formula>
    </cfRule>
    <cfRule type="containsText" dxfId="1647" priority="1852" operator="containsText" text="Not Yet Due">
      <formula>NOT(ISERROR(SEARCH("Not Yet Due",I69)))</formula>
    </cfRule>
    <cfRule type="containsText" dxfId="1646" priority="1853" operator="containsText" text="Deferred">
      <formula>NOT(ISERROR(SEARCH("Deferred",I69)))</formula>
    </cfRule>
    <cfRule type="containsText" dxfId="1645" priority="1854" operator="containsText" text="Deleted">
      <formula>NOT(ISERROR(SEARCH("Deleted",I69)))</formula>
    </cfRule>
    <cfRule type="containsText" dxfId="1644" priority="1855" operator="containsText" text="In Danger of Falling Behind Target">
      <formula>NOT(ISERROR(SEARCH("In Danger of Falling Behind Target",I69)))</formula>
    </cfRule>
    <cfRule type="containsText" dxfId="1643" priority="1856" operator="containsText" text="Not yet due">
      <formula>NOT(ISERROR(SEARCH("Not yet due",I69)))</formula>
    </cfRule>
    <cfRule type="containsText" dxfId="1642" priority="1857" operator="containsText" text="Completed Behind Schedule">
      <formula>NOT(ISERROR(SEARCH("Completed Behind Schedule",I69)))</formula>
    </cfRule>
    <cfRule type="containsText" dxfId="1641" priority="1858" operator="containsText" text="Off Target">
      <formula>NOT(ISERROR(SEARCH("Off Target",I69)))</formula>
    </cfRule>
    <cfRule type="containsText" dxfId="1640" priority="1859" operator="containsText" text="In Danger of Falling Behind Target">
      <formula>NOT(ISERROR(SEARCH("In Danger of Falling Behind Target",I69)))</formula>
    </cfRule>
    <cfRule type="containsText" dxfId="1639" priority="1860" operator="containsText" text="On Track to be Achieved">
      <formula>NOT(ISERROR(SEARCH("On Track to be Achieved",I69)))</formula>
    </cfRule>
    <cfRule type="containsText" dxfId="1638" priority="1861" operator="containsText" text="Fully Achieved">
      <formula>NOT(ISERROR(SEARCH("Fully Achieved",I69)))</formula>
    </cfRule>
    <cfRule type="containsText" dxfId="1637" priority="1862" operator="containsText" text="Update not Provided">
      <formula>NOT(ISERROR(SEARCH("Update not Provided",I69)))</formula>
    </cfRule>
    <cfRule type="containsText" dxfId="1636" priority="1863" operator="containsText" text="Not yet due">
      <formula>NOT(ISERROR(SEARCH("Not yet due",I69)))</formula>
    </cfRule>
    <cfRule type="containsText" dxfId="1635" priority="1864" operator="containsText" text="Completed Behind Schedule">
      <formula>NOT(ISERROR(SEARCH("Completed Behind Schedule",I69)))</formula>
    </cfRule>
    <cfRule type="containsText" dxfId="1634" priority="1865" operator="containsText" text="Off Target">
      <formula>NOT(ISERROR(SEARCH("Off Target",I69)))</formula>
    </cfRule>
    <cfRule type="containsText" dxfId="1633" priority="1866" operator="containsText" text="In Danger of Falling Behind Target">
      <formula>NOT(ISERROR(SEARCH("In Danger of Falling Behind Target",I69)))</formula>
    </cfRule>
    <cfRule type="containsText" dxfId="1632" priority="1867" operator="containsText" text="On Track to be Achieved">
      <formula>NOT(ISERROR(SEARCH("On Track to be Achieved",I69)))</formula>
    </cfRule>
    <cfRule type="containsText" dxfId="1631" priority="1868" operator="containsText" text="Fully Achieved">
      <formula>NOT(ISERROR(SEARCH("Fully Achieved",I69)))</formula>
    </cfRule>
    <cfRule type="containsText" dxfId="1630" priority="1869" operator="containsText" text="Fully Achieved">
      <formula>NOT(ISERROR(SEARCH("Fully Achieved",I69)))</formula>
    </cfRule>
    <cfRule type="containsText" dxfId="1629" priority="1870" operator="containsText" text="Fully Achieved">
      <formula>NOT(ISERROR(SEARCH("Fully Achieved",I69)))</formula>
    </cfRule>
    <cfRule type="containsText" dxfId="1628" priority="1871" operator="containsText" text="Deferred">
      <formula>NOT(ISERROR(SEARCH("Deferred",I69)))</formula>
    </cfRule>
    <cfRule type="containsText" dxfId="1627" priority="1872" operator="containsText" text="Deleted">
      <formula>NOT(ISERROR(SEARCH("Deleted",I69)))</formula>
    </cfRule>
    <cfRule type="containsText" dxfId="1626" priority="1873" operator="containsText" text="In Danger of Falling Behind Target">
      <formula>NOT(ISERROR(SEARCH("In Danger of Falling Behind Target",I69)))</formula>
    </cfRule>
    <cfRule type="containsText" dxfId="1625" priority="1874" operator="containsText" text="Not yet due">
      <formula>NOT(ISERROR(SEARCH("Not yet due",I69)))</formula>
    </cfRule>
    <cfRule type="containsText" dxfId="1624" priority="1875" operator="containsText" text="Update not Provided">
      <formula>NOT(ISERROR(SEARCH("Update not Provided",I69)))</formula>
    </cfRule>
  </conditionalFormatting>
  <conditionalFormatting sqref="I70">
    <cfRule type="containsText" dxfId="1623" priority="1804" operator="containsText" text="On track to be achieved">
      <formula>NOT(ISERROR(SEARCH("On track to be achieved",I70)))</formula>
    </cfRule>
    <cfRule type="containsText" dxfId="1622" priority="1805" operator="containsText" text="Deferred">
      <formula>NOT(ISERROR(SEARCH("Deferred",I70)))</formula>
    </cfRule>
    <cfRule type="containsText" dxfId="1621" priority="1806" operator="containsText" text="Deleted">
      <formula>NOT(ISERROR(SEARCH("Deleted",I70)))</formula>
    </cfRule>
    <cfRule type="containsText" dxfId="1620" priority="1807" operator="containsText" text="In Danger of Falling Behind Target">
      <formula>NOT(ISERROR(SEARCH("In Danger of Falling Behind Target",I70)))</formula>
    </cfRule>
    <cfRule type="containsText" dxfId="1619" priority="1808" operator="containsText" text="Not yet due">
      <formula>NOT(ISERROR(SEARCH("Not yet due",I70)))</formula>
    </cfRule>
    <cfRule type="containsText" dxfId="1618" priority="1809" operator="containsText" text="Update not Provided">
      <formula>NOT(ISERROR(SEARCH("Update not Provided",I70)))</formula>
    </cfRule>
    <cfRule type="containsText" dxfId="1617" priority="1810" operator="containsText" text="Not yet due">
      <formula>NOT(ISERROR(SEARCH("Not yet due",I70)))</formula>
    </cfRule>
    <cfRule type="containsText" dxfId="1616" priority="1811" operator="containsText" text="Completed Behind Schedule">
      <formula>NOT(ISERROR(SEARCH("Completed Behind Schedule",I70)))</formula>
    </cfRule>
    <cfRule type="containsText" dxfId="1615" priority="1812" operator="containsText" text="Off Target">
      <formula>NOT(ISERROR(SEARCH("Off Target",I70)))</formula>
    </cfRule>
    <cfRule type="containsText" dxfId="1614" priority="1813" operator="containsText" text="On Track to be Achieved">
      <formula>NOT(ISERROR(SEARCH("On Track to be Achieved",I70)))</formula>
    </cfRule>
    <cfRule type="containsText" dxfId="1613" priority="1814" operator="containsText" text="Fully Achieved">
      <formula>NOT(ISERROR(SEARCH("Fully Achieved",I70)))</formula>
    </cfRule>
    <cfRule type="containsText" dxfId="1612" priority="1815" operator="containsText" text="Not yet due">
      <formula>NOT(ISERROR(SEARCH("Not yet due",I70)))</formula>
    </cfRule>
    <cfRule type="containsText" dxfId="1611" priority="1816" operator="containsText" text="Not Yet Due">
      <formula>NOT(ISERROR(SEARCH("Not Yet Due",I70)))</formula>
    </cfRule>
    <cfRule type="containsText" dxfId="1610" priority="1817" operator="containsText" text="Deferred">
      <formula>NOT(ISERROR(SEARCH("Deferred",I70)))</formula>
    </cfRule>
    <cfRule type="containsText" dxfId="1609" priority="1818" operator="containsText" text="Deleted">
      <formula>NOT(ISERROR(SEARCH("Deleted",I70)))</formula>
    </cfRule>
    <cfRule type="containsText" dxfId="1608" priority="1819" operator="containsText" text="In Danger of Falling Behind Target">
      <formula>NOT(ISERROR(SEARCH("In Danger of Falling Behind Target",I70)))</formula>
    </cfRule>
    <cfRule type="containsText" dxfId="1607" priority="1820" operator="containsText" text="Not yet due">
      <formula>NOT(ISERROR(SEARCH("Not yet due",I70)))</formula>
    </cfRule>
    <cfRule type="containsText" dxfId="1606" priority="1821" operator="containsText" text="Completed Behind Schedule">
      <formula>NOT(ISERROR(SEARCH("Completed Behind Schedule",I70)))</formula>
    </cfRule>
    <cfRule type="containsText" dxfId="1605" priority="1822" operator="containsText" text="Off Target">
      <formula>NOT(ISERROR(SEARCH("Off Target",I70)))</formula>
    </cfRule>
    <cfRule type="containsText" dxfId="1604" priority="1823" operator="containsText" text="In Danger of Falling Behind Target">
      <formula>NOT(ISERROR(SEARCH("In Danger of Falling Behind Target",I70)))</formula>
    </cfRule>
    <cfRule type="containsText" dxfId="1603" priority="1824" operator="containsText" text="On Track to be Achieved">
      <formula>NOT(ISERROR(SEARCH("On Track to be Achieved",I70)))</formula>
    </cfRule>
    <cfRule type="containsText" dxfId="1602" priority="1825" operator="containsText" text="Fully Achieved">
      <formula>NOT(ISERROR(SEARCH("Fully Achieved",I70)))</formula>
    </cfRule>
    <cfRule type="containsText" dxfId="1601" priority="1826" operator="containsText" text="Update not Provided">
      <formula>NOT(ISERROR(SEARCH("Update not Provided",I70)))</formula>
    </cfRule>
    <cfRule type="containsText" dxfId="1600" priority="1827" operator="containsText" text="Not yet due">
      <formula>NOT(ISERROR(SEARCH("Not yet due",I70)))</formula>
    </cfRule>
    <cfRule type="containsText" dxfId="1599" priority="1828" operator="containsText" text="Completed Behind Schedule">
      <formula>NOT(ISERROR(SEARCH("Completed Behind Schedule",I70)))</formula>
    </cfRule>
    <cfRule type="containsText" dxfId="1598" priority="1829" operator="containsText" text="Off Target">
      <formula>NOT(ISERROR(SEARCH("Off Target",I70)))</formula>
    </cfRule>
    <cfRule type="containsText" dxfId="1597" priority="1830" operator="containsText" text="In Danger of Falling Behind Target">
      <formula>NOT(ISERROR(SEARCH("In Danger of Falling Behind Target",I70)))</formula>
    </cfRule>
    <cfRule type="containsText" dxfId="1596" priority="1831" operator="containsText" text="On Track to be Achieved">
      <formula>NOT(ISERROR(SEARCH("On Track to be Achieved",I70)))</formula>
    </cfRule>
    <cfRule type="containsText" dxfId="1595" priority="1832" operator="containsText" text="Fully Achieved">
      <formula>NOT(ISERROR(SEARCH("Fully Achieved",I70)))</formula>
    </cfRule>
    <cfRule type="containsText" dxfId="1594" priority="1833" operator="containsText" text="Fully Achieved">
      <formula>NOT(ISERROR(SEARCH("Fully Achieved",I70)))</formula>
    </cfRule>
    <cfRule type="containsText" dxfId="1593" priority="1834" operator="containsText" text="Fully Achieved">
      <formula>NOT(ISERROR(SEARCH("Fully Achieved",I70)))</formula>
    </cfRule>
    <cfRule type="containsText" dxfId="1592" priority="1835" operator="containsText" text="Deferred">
      <formula>NOT(ISERROR(SEARCH("Deferred",I70)))</formula>
    </cfRule>
    <cfRule type="containsText" dxfId="1591" priority="1836" operator="containsText" text="Deleted">
      <formula>NOT(ISERROR(SEARCH("Deleted",I70)))</formula>
    </cfRule>
    <cfRule type="containsText" dxfId="1590" priority="1837" operator="containsText" text="In Danger of Falling Behind Target">
      <formula>NOT(ISERROR(SEARCH("In Danger of Falling Behind Target",I70)))</formula>
    </cfRule>
    <cfRule type="containsText" dxfId="1589" priority="1838" operator="containsText" text="Not yet due">
      <formula>NOT(ISERROR(SEARCH("Not yet due",I70)))</formula>
    </cfRule>
    <cfRule type="containsText" dxfId="1588" priority="1839" operator="containsText" text="Update not Provided">
      <formula>NOT(ISERROR(SEARCH("Update not Provided",I70)))</formula>
    </cfRule>
  </conditionalFormatting>
  <conditionalFormatting sqref="I70">
    <cfRule type="containsText" dxfId="1587" priority="1768" operator="containsText" text="On track to be achieved">
      <formula>NOT(ISERROR(SEARCH("On track to be achieved",I70)))</formula>
    </cfRule>
    <cfRule type="containsText" dxfId="1586" priority="1769" operator="containsText" text="Deferred">
      <formula>NOT(ISERROR(SEARCH("Deferred",I70)))</formula>
    </cfRule>
    <cfRule type="containsText" dxfId="1585" priority="1770" operator="containsText" text="Deleted">
      <formula>NOT(ISERROR(SEARCH("Deleted",I70)))</formula>
    </cfRule>
    <cfRule type="containsText" dxfId="1584" priority="1771" operator="containsText" text="In Danger of Falling Behind Target">
      <formula>NOT(ISERROR(SEARCH("In Danger of Falling Behind Target",I70)))</formula>
    </cfRule>
    <cfRule type="containsText" dxfId="1583" priority="1772" operator="containsText" text="Not yet due">
      <formula>NOT(ISERROR(SEARCH("Not yet due",I70)))</formula>
    </cfRule>
    <cfRule type="containsText" dxfId="1582" priority="1773" operator="containsText" text="Update not Provided">
      <formula>NOT(ISERROR(SEARCH("Update not Provided",I70)))</formula>
    </cfRule>
    <cfRule type="containsText" dxfId="1581" priority="1774" operator="containsText" text="Not yet due">
      <formula>NOT(ISERROR(SEARCH("Not yet due",I70)))</formula>
    </cfRule>
    <cfRule type="containsText" dxfId="1580" priority="1775" operator="containsText" text="Completed Behind Schedule">
      <formula>NOT(ISERROR(SEARCH("Completed Behind Schedule",I70)))</formula>
    </cfRule>
    <cfRule type="containsText" dxfId="1579" priority="1776" operator="containsText" text="Off Target">
      <formula>NOT(ISERROR(SEARCH("Off Target",I70)))</formula>
    </cfRule>
    <cfRule type="containsText" dxfId="1578" priority="1777" operator="containsText" text="On Track to be Achieved">
      <formula>NOT(ISERROR(SEARCH("On Track to be Achieved",I70)))</formula>
    </cfRule>
    <cfRule type="containsText" dxfId="1577" priority="1778" operator="containsText" text="Fully Achieved">
      <formula>NOT(ISERROR(SEARCH("Fully Achieved",I70)))</formula>
    </cfRule>
    <cfRule type="containsText" dxfId="1576" priority="1779" operator="containsText" text="Not yet due">
      <formula>NOT(ISERROR(SEARCH("Not yet due",I70)))</formula>
    </cfRule>
    <cfRule type="containsText" dxfId="1575" priority="1780" operator="containsText" text="Not Yet Due">
      <formula>NOT(ISERROR(SEARCH("Not Yet Due",I70)))</formula>
    </cfRule>
    <cfRule type="containsText" dxfId="1574" priority="1781" operator="containsText" text="Deferred">
      <formula>NOT(ISERROR(SEARCH("Deferred",I70)))</formula>
    </cfRule>
    <cfRule type="containsText" dxfId="1573" priority="1782" operator="containsText" text="Deleted">
      <formula>NOT(ISERROR(SEARCH("Deleted",I70)))</formula>
    </cfRule>
    <cfRule type="containsText" dxfId="1572" priority="1783" operator="containsText" text="In Danger of Falling Behind Target">
      <formula>NOT(ISERROR(SEARCH("In Danger of Falling Behind Target",I70)))</formula>
    </cfRule>
    <cfRule type="containsText" dxfId="1571" priority="1784" operator="containsText" text="Not yet due">
      <formula>NOT(ISERROR(SEARCH("Not yet due",I70)))</formula>
    </cfRule>
    <cfRule type="containsText" dxfId="1570" priority="1785" operator="containsText" text="Completed Behind Schedule">
      <formula>NOT(ISERROR(SEARCH("Completed Behind Schedule",I70)))</formula>
    </cfRule>
    <cfRule type="containsText" dxfId="1569" priority="1786" operator="containsText" text="Off Target">
      <formula>NOT(ISERROR(SEARCH("Off Target",I70)))</formula>
    </cfRule>
    <cfRule type="containsText" dxfId="1568" priority="1787" operator="containsText" text="In Danger of Falling Behind Target">
      <formula>NOT(ISERROR(SEARCH("In Danger of Falling Behind Target",I70)))</formula>
    </cfRule>
    <cfRule type="containsText" dxfId="1567" priority="1788" operator="containsText" text="On Track to be Achieved">
      <formula>NOT(ISERROR(SEARCH("On Track to be Achieved",I70)))</formula>
    </cfRule>
    <cfRule type="containsText" dxfId="1566" priority="1789" operator="containsText" text="Fully Achieved">
      <formula>NOT(ISERROR(SEARCH("Fully Achieved",I70)))</formula>
    </cfRule>
    <cfRule type="containsText" dxfId="1565" priority="1790" operator="containsText" text="Update not Provided">
      <formula>NOT(ISERROR(SEARCH("Update not Provided",I70)))</formula>
    </cfRule>
    <cfRule type="containsText" dxfId="1564" priority="1791" operator="containsText" text="Not yet due">
      <formula>NOT(ISERROR(SEARCH("Not yet due",I70)))</formula>
    </cfRule>
    <cfRule type="containsText" dxfId="1563" priority="1792" operator="containsText" text="Completed Behind Schedule">
      <formula>NOT(ISERROR(SEARCH("Completed Behind Schedule",I70)))</formula>
    </cfRule>
    <cfRule type="containsText" dxfId="1562" priority="1793" operator="containsText" text="Off Target">
      <formula>NOT(ISERROR(SEARCH("Off Target",I70)))</formula>
    </cfRule>
    <cfRule type="containsText" dxfId="1561" priority="1794" operator="containsText" text="In Danger of Falling Behind Target">
      <formula>NOT(ISERROR(SEARCH("In Danger of Falling Behind Target",I70)))</formula>
    </cfRule>
    <cfRule type="containsText" dxfId="1560" priority="1795" operator="containsText" text="On Track to be Achieved">
      <formula>NOT(ISERROR(SEARCH("On Track to be Achieved",I70)))</formula>
    </cfRule>
    <cfRule type="containsText" dxfId="1559" priority="1796" operator="containsText" text="Fully Achieved">
      <formula>NOT(ISERROR(SEARCH("Fully Achieved",I70)))</formula>
    </cfRule>
    <cfRule type="containsText" dxfId="1558" priority="1797" operator="containsText" text="Fully Achieved">
      <formula>NOT(ISERROR(SEARCH("Fully Achieved",I70)))</formula>
    </cfRule>
    <cfRule type="containsText" dxfId="1557" priority="1798" operator="containsText" text="Fully Achieved">
      <formula>NOT(ISERROR(SEARCH("Fully Achieved",I70)))</formula>
    </cfRule>
    <cfRule type="containsText" dxfId="1556" priority="1799" operator="containsText" text="Deferred">
      <formula>NOT(ISERROR(SEARCH("Deferred",I70)))</formula>
    </cfRule>
    <cfRule type="containsText" dxfId="1555" priority="1800" operator="containsText" text="Deleted">
      <formula>NOT(ISERROR(SEARCH("Deleted",I70)))</formula>
    </cfRule>
    <cfRule type="containsText" dxfId="1554" priority="1801" operator="containsText" text="In Danger of Falling Behind Target">
      <formula>NOT(ISERROR(SEARCH("In Danger of Falling Behind Target",I70)))</formula>
    </cfRule>
    <cfRule type="containsText" dxfId="1553" priority="1802" operator="containsText" text="Not yet due">
      <formula>NOT(ISERROR(SEARCH("Not yet due",I70)))</formula>
    </cfRule>
    <cfRule type="containsText" dxfId="1552" priority="1803" operator="containsText" text="Update not Provided">
      <formula>NOT(ISERROR(SEARCH("Update not Provided",I70)))</formula>
    </cfRule>
  </conditionalFormatting>
  <conditionalFormatting sqref="I70">
    <cfRule type="containsText" dxfId="1551" priority="1732" operator="containsText" text="On track to be achieved">
      <formula>NOT(ISERROR(SEARCH("On track to be achieved",I70)))</formula>
    </cfRule>
    <cfRule type="containsText" dxfId="1550" priority="1733" operator="containsText" text="Deferred">
      <formula>NOT(ISERROR(SEARCH("Deferred",I70)))</formula>
    </cfRule>
    <cfRule type="containsText" dxfId="1549" priority="1734" operator="containsText" text="Deleted">
      <formula>NOT(ISERROR(SEARCH("Deleted",I70)))</formula>
    </cfRule>
    <cfRule type="containsText" dxfId="1548" priority="1735" operator="containsText" text="In Danger of Falling Behind Target">
      <formula>NOT(ISERROR(SEARCH("In Danger of Falling Behind Target",I70)))</formula>
    </cfRule>
    <cfRule type="containsText" dxfId="1547" priority="1736" operator="containsText" text="Not yet due">
      <formula>NOT(ISERROR(SEARCH("Not yet due",I70)))</formula>
    </cfRule>
    <cfRule type="containsText" dxfId="1546" priority="1737" operator="containsText" text="Update not Provided">
      <formula>NOT(ISERROR(SEARCH("Update not Provided",I70)))</formula>
    </cfRule>
    <cfRule type="containsText" dxfId="1545" priority="1738" operator="containsText" text="Not yet due">
      <formula>NOT(ISERROR(SEARCH("Not yet due",I70)))</formula>
    </cfRule>
    <cfRule type="containsText" dxfId="1544" priority="1739" operator="containsText" text="Completed Behind Schedule">
      <formula>NOT(ISERROR(SEARCH("Completed Behind Schedule",I70)))</formula>
    </cfRule>
    <cfRule type="containsText" dxfId="1543" priority="1740" operator="containsText" text="Off Target">
      <formula>NOT(ISERROR(SEARCH("Off Target",I70)))</formula>
    </cfRule>
    <cfRule type="containsText" dxfId="1542" priority="1741" operator="containsText" text="On Track to be Achieved">
      <formula>NOT(ISERROR(SEARCH("On Track to be Achieved",I70)))</formula>
    </cfRule>
    <cfRule type="containsText" dxfId="1541" priority="1742" operator="containsText" text="Fully Achieved">
      <formula>NOT(ISERROR(SEARCH("Fully Achieved",I70)))</formula>
    </cfRule>
    <cfRule type="containsText" dxfId="1540" priority="1743" operator="containsText" text="Not yet due">
      <formula>NOT(ISERROR(SEARCH("Not yet due",I70)))</formula>
    </cfRule>
    <cfRule type="containsText" dxfId="1539" priority="1744" operator="containsText" text="Not Yet Due">
      <formula>NOT(ISERROR(SEARCH("Not Yet Due",I70)))</formula>
    </cfRule>
    <cfRule type="containsText" dxfId="1538" priority="1745" operator="containsText" text="Deferred">
      <formula>NOT(ISERROR(SEARCH("Deferred",I70)))</formula>
    </cfRule>
    <cfRule type="containsText" dxfId="1537" priority="1746" operator="containsText" text="Deleted">
      <formula>NOT(ISERROR(SEARCH("Deleted",I70)))</formula>
    </cfRule>
    <cfRule type="containsText" dxfId="1536" priority="1747" operator="containsText" text="In Danger of Falling Behind Target">
      <formula>NOT(ISERROR(SEARCH("In Danger of Falling Behind Target",I70)))</formula>
    </cfRule>
    <cfRule type="containsText" dxfId="1535" priority="1748" operator="containsText" text="Not yet due">
      <formula>NOT(ISERROR(SEARCH("Not yet due",I70)))</formula>
    </cfRule>
    <cfRule type="containsText" dxfId="1534" priority="1749" operator="containsText" text="Completed Behind Schedule">
      <formula>NOT(ISERROR(SEARCH("Completed Behind Schedule",I70)))</formula>
    </cfRule>
    <cfRule type="containsText" dxfId="1533" priority="1750" operator="containsText" text="Off Target">
      <formula>NOT(ISERROR(SEARCH("Off Target",I70)))</formula>
    </cfRule>
    <cfRule type="containsText" dxfId="1532" priority="1751" operator="containsText" text="In Danger of Falling Behind Target">
      <formula>NOT(ISERROR(SEARCH("In Danger of Falling Behind Target",I70)))</formula>
    </cfRule>
    <cfRule type="containsText" dxfId="1531" priority="1752" operator="containsText" text="On Track to be Achieved">
      <formula>NOT(ISERROR(SEARCH("On Track to be Achieved",I70)))</formula>
    </cfRule>
    <cfRule type="containsText" dxfId="1530" priority="1753" operator="containsText" text="Fully Achieved">
      <formula>NOT(ISERROR(SEARCH("Fully Achieved",I70)))</formula>
    </cfRule>
    <cfRule type="containsText" dxfId="1529" priority="1754" operator="containsText" text="Update not Provided">
      <formula>NOT(ISERROR(SEARCH("Update not Provided",I70)))</formula>
    </cfRule>
    <cfRule type="containsText" dxfId="1528" priority="1755" operator="containsText" text="Not yet due">
      <formula>NOT(ISERROR(SEARCH("Not yet due",I70)))</formula>
    </cfRule>
    <cfRule type="containsText" dxfId="1527" priority="1756" operator="containsText" text="Completed Behind Schedule">
      <formula>NOT(ISERROR(SEARCH("Completed Behind Schedule",I70)))</formula>
    </cfRule>
    <cfRule type="containsText" dxfId="1526" priority="1757" operator="containsText" text="Off Target">
      <formula>NOT(ISERROR(SEARCH("Off Target",I70)))</formula>
    </cfRule>
    <cfRule type="containsText" dxfId="1525" priority="1758" operator="containsText" text="In Danger of Falling Behind Target">
      <formula>NOT(ISERROR(SEARCH("In Danger of Falling Behind Target",I70)))</formula>
    </cfRule>
    <cfRule type="containsText" dxfId="1524" priority="1759" operator="containsText" text="On Track to be Achieved">
      <formula>NOT(ISERROR(SEARCH("On Track to be Achieved",I70)))</formula>
    </cfRule>
    <cfRule type="containsText" dxfId="1523" priority="1760" operator="containsText" text="Fully Achieved">
      <formula>NOT(ISERROR(SEARCH("Fully Achieved",I70)))</formula>
    </cfRule>
    <cfRule type="containsText" dxfId="1522" priority="1761" operator="containsText" text="Fully Achieved">
      <formula>NOT(ISERROR(SEARCH("Fully Achieved",I70)))</formula>
    </cfRule>
    <cfRule type="containsText" dxfId="1521" priority="1762" operator="containsText" text="Fully Achieved">
      <formula>NOT(ISERROR(SEARCH("Fully Achieved",I70)))</formula>
    </cfRule>
    <cfRule type="containsText" dxfId="1520" priority="1763" operator="containsText" text="Deferred">
      <formula>NOT(ISERROR(SEARCH("Deferred",I70)))</formula>
    </cfRule>
    <cfRule type="containsText" dxfId="1519" priority="1764" operator="containsText" text="Deleted">
      <formula>NOT(ISERROR(SEARCH("Deleted",I70)))</formula>
    </cfRule>
    <cfRule type="containsText" dxfId="1518" priority="1765" operator="containsText" text="In Danger of Falling Behind Target">
      <formula>NOT(ISERROR(SEARCH("In Danger of Falling Behind Target",I70)))</formula>
    </cfRule>
    <cfRule type="containsText" dxfId="1517" priority="1766" operator="containsText" text="Not yet due">
      <formula>NOT(ISERROR(SEARCH("Not yet due",I70)))</formula>
    </cfRule>
    <cfRule type="containsText" dxfId="1516" priority="1767" operator="containsText" text="Update not Provided">
      <formula>NOT(ISERROR(SEARCH("Update not Provided",I70)))</formula>
    </cfRule>
  </conditionalFormatting>
  <conditionalFormatting sqref="I70">
    <cfRule type="containsText" dxfId="1515" priority="1696" operator="containsText" text="On track to be achieved">
      <formula>NOT(ISERROR(SEARCH("On track to be achieved",I70)))</formula>
    </cfRule>
    <cfRule type="containsText" dxfId="1514" priority="1697" operator="containsText" text="Deferred">
      <formula>NOT(ISERROR(SEARCH("Deferred",I70)))</formula>
    </cfRule>
    <cfRule type="containsText" dxfId="1513" priority="1698" operator="containsText" text="Deleted">
      <formula>NOT(ISERROR(SEARCH("Deleted",I70)))</formula>
    </cfRule>
    <cfRule type="containsText" dxfId="1512" priority="1699" operator="containsText" text="In Danger of Falling Behind Target">
      <formula>NOT(ISERROR(SEARCH("In Danger of Falling Behind Target",I70)))</formula>
    </cfRule>
    <cfRule type="containsText" dxfId="1511" priority="1700" operator="containsText" text="Not yet due">
      <formula>NOT(ISERROR(SEARCH("Not yet due",I70)))</formula>
    </cfRule>
    <cfRule type="containsText" dxfId="1510" priority="1701" operator="containsText" text="Update not Provided">
      <formula>NOT(ISERROR(SEARCH("Update not Provided",I70)))</formula>
    </cfRule>
    <cfRule type="containsText" dxfId="1509" priority="1702" operator="containsText" text="Not yet due">
      <formula>NOT(ISERROR(SEARCH("Not yet due",I70)))</formula>
    </cfRule>
    <cfRule type="containsText" dxfId="1508" priority="1703" operator="containsText" text="Completed Behind Schedule">
      <formula>NOT(ISERROR(SEARCH("Completed Behind Schedule",I70)))</formula>
    </cfRule>
    <cfRule type="containsText" dxfId="1507" priority="1704" operator="containsText" text="Off Target">
      <formula>NOT(ISERROR(SEARCH("Off Target",I70)))</formula>
    </cfRule>
    <cfRule type="containsText" dxfId="1506" priority="1705" operator="containsText" text="On Track to be Achieved">
      <formula>NOT(ISERROR(SEARCH("On Track to be Achieved",I70)))</formula>
    </cfRule>
    <cfRule type="containsText" dxfId="1505" priority="1706" operator="containsText" text="Fully Achieved">
      <formula>NOT(ISERROR(SEARCH("Fully Achieved",I70)))</formula>
    </cfRule>
    <cfRule type="containsText" dxfId="1504" priority="1707" operator="containsText" text="Not yet due">
      <formula>NOT(ISERROR(SEARCH("Not yet due",I70)))</formula>
    </cfRule>
    <cfRule type="containsText" dxfId="1503" priority="1708" operator="containsText" text="Not Yet Due">
      <formula>NOT(ISERROR(SEARCH("Not Yet Due",I70)))</formula>
    </cfRule>
    <cfRule type="containsText" dxfId="1502" priority="1709" operator="containsText" text="Deferred">
      <formula>NOT(ISERROR(SEARCH("Deferred",I70)))</formula>
    </cfRule>
    <cfRule type="containsText" dxfId="1501" priority="1710" operator="containsText" text="Deleted">
      <formula>NOT(ISERROR(SEARCH("Deleted",I70)))</formula>
    </cfRule>
    <cfRule type="containsText" dxfId="1500" priority="1711" operator="containsText" text="In Danger of Falling Behind Target">
      <formula>NOT(ISERROR(SEARCH("In Danger of Falling Behind Target",I70)))</formula>
    </cfRule>
    <cfRule type="containsText" dxfId="1499" priority="1712" operator="containsText" text="Not yet due">
      <formula>NOT(ISERROR(SEARCH("Not yet due",I70)))</formula>
    </cfRule>
    <cfRule type="containsText" dxfId="1498" priority="1713" operator="containsText" text="Completed Behind Schedule">
      <formula>NOT(ISERROR(SEARCH("Completed Behind Schedule",I70)))</formula>
    </cfRule>
    <cfRule type="containsText" dxfId="1497" priority="1714" operator="containsText" text="Off Target">
      <formula>NOT(ISERROR(SEARCH("Off Target",I70)))</formula>
    </cfRule>
    <cfRule type="containsText" dxfId="1496" priority="1715" operator="containsText" text="In Danger of Falling Behind Target">
      <formula>NOT(ISERROR(SEARCH("In Danger of Falling Behind Target",I70)))</formula>
    </cfRule>
    <cfRule type="containsText" dxfId="1495" priority="1716" operator="containsText" text="On Track to be Achieved">
      <formula>NOT(ISERROR(SEARCH("On Track to be Achieved",I70)))</formula>
    </cfRule>
    <cfRule type="containsText" dxfId="1494" priority="1717" operator="containsText" text="Fully Achieved">
      <formula>NOT(ISERROR(SEARCH("Fully Achieved",I70)))</formula>
    </cfRule>
    <cfRule type="containsText" dxfId="1493" priority="1718" operator="containsText" text="Update not Provided">
      <formula>NOT(ISERROR(SEARCH("Update not Provided",I70)))</formula>
    </cfRule>
    <cfRule type="containsText" dxfId="1492" priority="1719" operator="containsText" text="Not yet due">
      <formula>NOT(ISERROR(SEARCH("Not yet due",I70)))</formula>
    </cfRule>
    <cfRule type="containsText" dxfId="1491" priority="1720" operator="containsText" text="Completed Behind Schedule">
      <formula>NOT(ISERROR(SEARCH("Completed Behind Schedule",I70)))</formula>
    </cfRule>
    <cfRule type="containsText" dxfId="1490" priority="1721" operator="containsText" text="Off Target">
      <formula>NOT(ISERROR(SEARCH("Off Target",I70)))</formula>
    </cfRule>
    <cfRule type="containsText" dxfId="1489" priority="1722" operator="containsText" text="In Danger of Falling Behind Target">
      <formula>NOT(ISERROR(SEARCH("In Danger of Falling Behind Target",I70)))</formula>
    </cfRule>
    <cfRule type="containsText" dxfId="1488" priority="1723" operator="containsText" text="On Track to be Achieved">
      <formula>NOT(ISERROR(SEARCH("On Track to be Achieved",I70)))</formula>
    </cfRule>
    <cfRule type="containsText" dxfId="1487" priority="1724" operator="containsText" text="Fully Achieved">
      <formula>NOT(ISERROR(SEARCH("Fully Achieved",I70)))</formula>
    </cfRule>
    <cfRule type="containsText" dxfId="1486" priority="1725" operator="containsText" text="Fully Achieved">
      <formula>NOT(ISERROR(SEARCH("Fully Achieved",I70)))</formula>
    </cfRule>
    <cfRule type="containsText" dxfId="1485" priority="1726" operator="containsText" text="Fully Achieved">
      <formula>NOT(ISERROR(SEARCH("Fully Achieved",I70)))</formula>
    </cfRule>
    <cfRule type="containsText" dxfId="1484" priority="1727" operator="containsText" text="Deferred">
      <formula>NOT(ISERROR(SEARCH("Deferred",I70)))</formula>
    </cfRule>
    <cfRule type="containsText" dxfId="1483" priority="1728" operator="containsText" text="Deleted">
      <formula>NOT(ISERROR(SEARCH("Deleted",I70)))</formula>
    </cfRule>
    <cfRule type="containsText" dxfId="1482" priority="1729" operator="containsText" text="In Danger of Falling Behind Target">
      <formula>NOT(ISERROR(SEARCH("In Danger of Falling Behind Target",I70)))</formula>
    </cfRule>
    <cfRule type="containsText" dxfId="1481" priority="1730" operator="containsText" text="Not yet due">
      <formula>NOT(ISERROR(SEARCH("Not yet due",I70)))</formula>
    </cfRule>
    <cfRule type="containsText" dxfId="1480" priority="1731" operator="containsText" text="Update not Provided">
      <formula>NOT(ISERROR(SEARCH("Update not Provided",I70)))</formula>
    </cfRule>
  </conditionalFormatting>
  <conditionalFormatting sqref="I71">
    <cfRule type="containsText" dxfId="1479" priority="1660" operator="containsText" text="On track to be achieved">
      <formula>NOT(ISERROR(SEARCH("On track to be achieved",I71)))</formula>
    </cfRule>
    <cfRule type="containsText" dxfId="1478" priority="1661" operator="containsText" text="Deferred">
      <formula>NOT(ISERROR(SEARCH("Deferred",I71)))</formula>
    </cfRule>
    <cfRule type="containsText" dxfId="1477" priority="1662" operator="containsText" text="Deleted">
      <formula>NOT(ISERROR(SEARCH("Deleted",I71)))</formula>
    </cfRule>
    <cfRule type="containsText" dxfId="1476" priority="1663" operator="containsText" text="In Danger of Falling Behind Target">
      <formula>NOT(ISERROR(SEARCH("In Danger of Falling Behind Target",I71)))</formula>
    </cfRule>
    <cfRule type="containsText" dxfId="1475" priority="1664" operator="containsText" text="Not yet due">
      <formula>NOT(ISERROR(SEARCH("Not yet due",I71)))</formula>
    </cfRule>
    <cfRule type="containsText" dxfId="1474" priority="1665" operator="containsText" text="Update not Provided">
      <formula>NOT(ISERROR(SEARCH("Update not Provided",I71)))</formula>
    </cfRule>
    <cfRule type="containsText" dxfId="1473" priority="1666" operator="containsText" text="Not yet due">
      <formula>NOT(ISERROR(SEARCH("Not yet due",I71)))</formula>
    </cfRule>
    <cfRule type="containsText" dxfId="1472" priority="1667" operator="containsText" text="Completed Behind Schedule">
      <formula>NOT(ISERROR(SEARCH("Completed Behind Schedule",I71)))</formula>
    </cfRule>
    <cfRule type="containsText" dxfId="1471" priority="1668" operator="containsText" text="Off Target">
      <formula>NOT(ISERROR(SEARCH("Off Target",I71)))</formula>
    </cfRule>
    <cfRule type="containsText" dxfId="1470" priority="1669" operator="containsText" text="On Track to be Achieved">
      <formula>NOT(ISERROR(SEARCH("On Track to be Achieved",I71)))</formula>
    </cfRule>
    <cfRule type="containsText" dxfId="1469" priority="1670" operator="containsText" text="Fully Achieved">
      <formula>NOT(ISERROR(SEARCH("Fully Achieved",I71)))</formula>
    </cfRule>
    <cfRule type="containsText" dxfId="1468" priority="1671" operator="containsText" text="Not yet due">
      <formula>NOT(ISERROR(SEARCH("Not yet due",I71)))</formula>
    </cfRule>
    <cfRule type="containsText" dxfId="1467" priority="1672" operator="containsText" text="Not Yet Due">
      <formula>NOT(ISERROR(SEARCH("Not Yet Due",I71)))</formula>
    </cfRule>
    <cfRule type="containsText" dxfId="1466" priority="1673" operator="containsText" text="Deferred">
      <formula>NOT(ISERROR(SEARCH("Deferred",I71)))</formula>
    </cfRule>
    <cfRule type="containsText" dxfId="1465" priority="1674" operator="containsText" text="Deleted">
      <formula>NOT(ISERROR(SEARCH("Deleted",I71)))</formula>
    </cfRule>
    <cfRule type="containsText" dxfId="1464" priority="1675" operator="containsText" text="In Danger of Falling Behind Target">
      <formula>NOT(ISERROR(SEARCH("In Danger of Falling Behind Target",I71)))</formula>
    </cfRule>
    <cfRule type="containsText" dxfId="1463" priority="1676" operator="containsText" text="Not yet due">
      <formula>NOT(ISERROR(SEARCH("Not yet due",I71)))</formula>
    </cfRule>
    <cfRule type="containsText" dxfId="1462" priority="1677" operator="containsText" text="Completed Behind Schedule">
      <formula>NOT(ISERROR(SEARCH("Completed Behind Schedule",I71)))</formula>
    </cfRule>
    <cfRule type="containsText" dxfId="1461" priority="1678" operator="containsText" text="Off Target">
      <formula>NOT(ISERROR(SEARCH("Off Target",I71)))</formula>
    </cfRule>
    <cfRule type="containsText" dxfId="1460" priority="1679" operator="containsText" text="In Danger of Falling Behind Target">
      <formula>NOT(ISERROR(SEARCH("In Danger of Falling Behind Target",I71)))</formula>
    </cfRule>
    <cfRule type="containsText" dxfId="1459" priority="1680" operator="containsText" text="On Track to be Achieved">
      <formula>NOT(ISERROR(SEARCH("On Track to be Achieved",I71)))</formula>
    </cfRule>
    <cfRule type="containsText" dxfId="1458" priority="1681" operator="containsText" text="Fully Achieved">
      <formula>NOT(ISERROR(SEARCH("Fully Achieved",I71)))</formula>
    </cfRule>
    <cfRule type="containsText" dxfId="1457" priority="1682" operator="containsText" text="Update not Provided">
      <formula>NOT(ISERROR(SEARCH("Update not Provided",I71)))</formula>
    </cfRule>
    <cfRule type="containsText" dxfId="1456" priority="1683" operator="containsText" text="Not yet due">
      <formula>NOT(ISERROR(SEARCH("Not yet due",I71)))</formula>
    </cfRule>
    <cfRule type="containsText" dxfId="1455" priority="1684" operator="containsText" text="Completed Behind Schedule">
      <formula>NOT(ISERROR(SEARCH("Completed Behind Schedule",I71)))</formula>
    </cfRule>
    <cfRule type="containsText" dxfId="1454" priority="1685" operator="containsText" text="Off Target">
      <formula>NOT(ISERROR(SEARCH("Off Target",I71)))</formula>
    </cfRule>
    <cfRule type="containsText" dxfId="1453" priority="1686" operator="containsText" text="In Danger of Falling Behind Target">
      <formula>NOT(ISERROR(SEARCH("In Danger of Falling Behind Target",I71)))</formula>
    </cfRule>
    <cfRule type="containsText" dxfId="1452" priority="1687" operator="containsText" text="On Track to be Achieved">
      <formula>NOT(ISERROR(SEARCH("On Track to be Achieved",I71)))</formula>
    </cfRule>
    <cfRule type="containsText" dxfId="1451" priority="1688" operator="containsText" text="Fully Achieved">
      <formula>NOT(ISERROR(SEARCH("Fully Achieved",I71)))</formula>
    </cfRule>
    <cfRule type="containsText" dxfId="1450" priority="1689" operator="containsText" text="Fully Achieved">
      <formula>NOT(ISERROR(SEARCH("Fully Achieved",I71)))</formula>
    </cfRule>
    <cfRule type="containsText" dxfId="1449" priority="1690" operator="containsText" text="Fully Achieved">
      <formula>NOT(ISERROR(SEARCH("Fully Achieved",I71)))</formula>
    </cfRule>
    <cfRule type="containsText" dxfId="1448" priority="1691" operator="containsText" text="Deferred">
      <formula>NOT(ISERROR(SEARCH("Deferred",I71)))</formula>
    </cfRule>
    <cfRule type="containsText" dxfId="1447" priority="1692" operator="containsText" text="Deleted">
      <formula>NOT(ISERROR(SEARCH("Deleted",I71)))</formula>
    </cfRule>
    <cfRule type="containsText" dxfId="1446" priority="1693" operator="containsText" text="In Danger of Falling Behind Target">
      <formula>NOT(ISERROR(SEARCH("In Danger of Falling Behind Target",I71)))</formula>
    </cfRule>
    <cfRule type="containsText" dxfId="1445" priority="1694" operator="containsText" text="Not yet due">
      <formula>NOT(ISERROR(SEARCH("Not yet due",I71)))</formula>
    </cfRule>
    <cfRule type="containsText" dxfId="1444" priority="1695" operator="containsText" text="Update not Provided">
      <formula>NOT(ISERROR(SEARCH("Update not Provided",I71)))</formula>
    </cfRule>
  </conditionalFormatting>
  <conditionalFormatting sqref="I71">
    <cfRule type="containsText" dxfId="1443" priority="1624" operator="containsText" text="On track to be achieved">
      <formula>NOT(ISERROR(SEARCH("On track to be achieved",I71)))</formula>
    </cfRule>
    <cfRule type="containsText" dxfId="1442" priority="1625" operator="containsText" text="Deferred">
      <formula>NOT(ISERROR(SEARCH("Deferred",I71)))</formula>
    </cfRule>
    <cfRule type="containsText" dxfId="1441" priority="1626" operator="containsText" text="Deleted">
      <formula>NOT(ISERROR(SEARCH("Deleted",I71)))</formula>
    </cfRule>
    <cfRule type="containsText" dxfId="1440" priority="1627" operator="containsText" text="In Danger of Falling Behind Target">
      <formula>NOT(ISERROR(SEARCH("In Danger of Falling Behind Target",I71)))</formula>
    </cfRule>
    <cfRule type="containsText" dxfId="1439" priority="1628" operator="containsText" text="Not yet due">
      <formula>NOT(ISERROR(SEARCH("Not yet due",I71)))</formula>
    </cfRule>
    <cfRule type="containsText" dxfId="1438" priority="1629" operator="containsText" text="Update not Provided">
      <formula>NOT(ISERROR(SEARCH("Update not Provided",I71)))</formula>
    </cfRule>
    <cfRule type="containsText" dxfId="1437" priority="1630" operator="containsText" text="Not yet due">
      <formula>NOT(ISERROR(SEARCH("Not yet due",I71)))</formula>
    </cfRule>
    <cfRule type="containsText" dxfId="1436" priority="1631" operator="containsText" text="Completed Behind Schedule">
      <formula>NOT(ISERROR(SEARCH("Completed Behind Schedule",I71)))</formula>
    </cfRule>
    <cfRule type="containsText" dxfId="1435" priority="1632" operator="containsText" text="Off Target">
      <formula>NOT(ISERROR(SEARCH("Off Target",I71)))</formula>
    </cfRule>
    <cfRule type="containsText" dxfId="1434" priority="1633" operator="containsText" text="On Track to be Achieved">
      <formula>NOT(ISERROR(SEARCH("On Track to be Achieved",I71)))</formula>
    </cfRule>
    <cfRule type="containsText" dxfId="1433" priority="1634" operator="containsText" text="Fully Achieved">
      <formula>NOT(ISERROR(SEARCH("Fully Achieved",I71)))</formula>
    </cfRule>
    <cfRule type="containsText" dxfId="1432" priority="1635" operator="containsText" text="Not yet due">
      <formula>NOT(ISERROR(SEARCH("Not yet due",I71)))</formula>
    </cfRule>
    <cfRule type="containsText" dxfId="1431" priority="1636" operator="containsText" text="Not Yet Due">
      <formula>NOT(ISERROR(SEARCH("Not Yet Due",I71)))</formula>
    </cfRule>
    <cfRule type="containsText" dxfId="1430" priority="1637" operator="containsText" text="Deferred">
      <formula>NOT(ISERROR(SEARCH("Deferred",I71)))</formula>
    </cfRule>
    <cfRule type="containsText" dxfId="1429" priority="1638" operator="containsText" text="Deleted">
      <formula>NOT(ISERROR(SEARCH("Deleted",I71)))</formula>
    </cfRule>
    <cfRule type="containsText" dxfId="1428" priority="1639" operator="containsText" text="In Danger of Falling Behind Target">
      <formula>NOT(ISERROR(SEARCH("In Danger of Falling Behind Target",I71)))</formula>
    </cfRule>
    <cfRule type="containsText" dxfId="1427" priority="1640" operator="containsText" text="Not yet due">
      <formula>NOT(ISERROR(SEARCH("Not yet due",I71)))</formula>
    </cfRule>
    <cfRule type="containsText" dxfId="1426" priority="1641" operator="containsText" text="Completed Behind Schedule">
      <formula>NOT(ISERROR(SEARCH("Completed Behind Schedule",I71)))</formula>
    </cfRule>
    <cfRule type="containsText" dxfId="1425" priority="1642" operator="containsText" text="Off Target">
      <formula>NOT(ISERROR(SEARCH("Off Target",I71)))</formula>
    </cfRule>
    <cfRule type="containsText" dxfId="1424" priority="1643" operator="containsText" text="In Danger of Falling Behind Target">
      <formula>NOT(ISERROR(SEARCH("In Danger of Falling Behind Target",I71)))</formula>
    </cfRule>
    <cfRule type="containsText" dxfId="1423" priority="1644" operator="containsText" text="On Track to be Achieved">
      <formula>NOT(ISERROR(SEARCH("On Track to be Achieved",I71)))</formula>
    </cfRule>
    <cfRule type="containsText" dxfId="1422" priority="1645" operator="containsText" text="Fully Achieved">
      <formula>NOT(ISERROR(SEARCH("Fully Achieved",I71)))</formula>
    </cfRule>
    <cfRule type="containsText" dxfId="1421" priority="1646" operator="containsText" text="Update not Provided">
      <formula>NOT(ISERROR(SEARCH("Update not Provided",I71)))</formula>
    </cfRule>
    <cfRule type="containsText" dxfId="1420" priority="1647" operator="containsText" text="Not yet due">
      <formula>NOT(ISERROR(SEARCH("Not yet due",I71)))</formula>
    </cfRule>
    <cfRule type="containsText" dxfId="1419" priority="1648" operator="containsText" text="Completed Behind Schedule">
      <formula>NOT(ISERROR(SEARCH("Completed Behind Schedule",I71)))</formula>
    </cfRule>
    <cfRule type="containsText" dxfId="1418" priority="1649" operator="containsText" text="Off Target">
      <formula>NOT(ISERROR(SEARCH("Off Target",I71)))</formula>
    </cfRule>
    <cfRule type="containsText" dxfId="1417" priority="1650" operator="containsText" text="In Danger of Falling Behind Target">
      <formula>NOT(ISERROR(SEARCH("In Danger of Falling Behind Target",I71)))</formula>
    </cfRule>
    <cfRule type="containsText" dxfId="1416" priority="1651" operator="containsText" text="On Track to be Achieved">
      <formula>NOT(ISERROR(SEARCH("On Track to be Achieved",I71)))</formula>
    </cfRule>
    <cfRule type="containsText" dxfId="1415" priority="1652" operator="containsText" text="Fully Achieved">
      <formula>NOT(ISERROR(SEARCH("Fully Achieved",I71)))</formula>
    </cfRule>
    <cfRule type="containsText" dxfId="1414" priority="1653" operator="containsText" text="Fully Achieved">
      <formula>NOT(ISERROR(SEARCH("Fully Achieved",I71)))</formula>
    </cfRule>
    <cfRule type="containsText" dxfId="1413" priority="1654" operator="containsText" text="Fully Achieved">
      <formula>NOT(ISERROR(SEARCH("Fully Achieved",I71)))</formula>
    </cfRule>
    <cfRule type="containsText" dxfId="1412" priority="1655" operator="containsText" text="Deferred">
      <formula>NOT(ISERROR(SEARCH("Deferred",I71)))</formula>
    </cfRule>
    <cfRule type="containsText" dxfId="1411" priority="1656" operator="containsText" text="Deleted">
      <formula>NOT(ISERROR(SEARCH("Deleted",I71)))</formula>
    </cfRule>
    <cfRule type="containsText" dxfId="1410" priority="1657" operator="containsText" text="In Danger of Falling Behind Target">
      <formula>NOT(ISERROR(SEARCH("In Danger of Falling Behind Target",I71)))</formula>
    </cfRule>
    <cfRule type="containsText" dxfId="1409" priority="1658" operator="containsText" text="Not yet due">
      <formula>NOT(ISERROR(SEARCH("Not yet due",I71)))</formula>
    </cfRule>
    <cfRule type="containsText" dxfId="1408" priority="1659" operator="containsText" text="Update not Provided">
      <formula>NOT(ISERROR(SEARCH("Update not Provided",I71)))</formula>
    </cfRule>
  </conditionalFormatting>
  <conditionalFormatting sqref="I71">
    <cfRule type="containsText" dxfId="1407" priority="1588" operator="containsText" text="On track to be achieved">
      <formula>NOT(ISERROR(SEARCH("On track to be achieved",I71)))</formula>
    </cfRule>
    <cfRule type="containsText" dxfId="1406" priority="1589" operator="containsText" text="Deferred">
      <formula>NOT(ISERROR(SEARCH("Deferred",I71)))</formula>
    </cfRule>
    <cfRule type="containsText" dxfId="1405" priority="1590" operator="containsText" text="Deleted">
      <formula>NOT(ISERROR(SEARCH("Deleted",I71)))</formula>
    </cfRule>
    <cfRule type="containsText" dxfId="1404" priority="1591" operator="containsText" text="In Danger of Falling Behind Target">
      <formula>NOT(ISERROR(SEARCH("In Danger of Falling Behind Target",I71)))</formula>
    </cfRule>
    <cfRule type="containsText" dxfId="1403" priority="1592" operator="containsText" text="Not yet due">
      <formula>NOT(ISERROR(SEARCH("Not yet due",I71)))</formula>
    </cfRule>
    <cfRule type="containsText" dxfId="1402" priority="1593" operator="containsText" text="Update not Provided">
      <formula>NOT(ISERROR(SEARCH("Update not Provided",I71)))</formula>
    </cfRule>
    <cfRule type="containsText" dxfId="1401" priority="1594" operator="containsText" text="Not yet due">
      <formula>NOT(ISERROR(SEARCH("Not yet due",I71)))</formula>
    </cfRule>
    <cfRule type="containsText" dxfId="1400" priority="1595" operator="containsText" text="Completed Behind Schedule">
      <formula>NOT(ISERROR(SEARCH("Completed Behind Schedule",I71)))</formula>
    </cfRule>
    <cfRule type="containsText" dxfId="1399" priority="1596" operator="containsText" text="Off Target">
      <formula>NOT(ISERROR(SEARCH("Off Target",I71)))</formula>
    </cfRule>
    <cfRule type="containsText" dxfId="1398" priority="1597" operator="containsText" text="On Track to be Achieved">
      <formula>NOT(ISERROR(SEARCH("On Track to be Achieved",I71)))</formula>
    </cfRule>
    <cfRule type="containsText" dxfId="1397" priority="1598" operator="containsText" text="Fully Achieved">
      <formula>NOT(ISERROR(SEARCH("Fully Achieved",I71)))</formula>
    </cfRule>
    <cfRule type="containsText" dxfId="1396" priority="1599" operator="containsText" text="Not yet due">
      <formula>NOT(ISERROR(SEARCH("Not yet due",I71)))</formula>
    </cfRule>
    <cfRule type="containsText" dxfId="1395" priority="1600" operator="containsText" text="Not Yet Due">
      <formula>NOT(ISERROR(SEARCH("Not Yet Due",I71)))</formula>
    </cfRule>
    <cfRule type="containsText" dxfId="1394" priority="1601" operator="containsText" text="Deferred">
      <formula>NOT(ISERROR(SEARCH("Deferred",I71)))</formula>
    </cfRule>
    <cfRule type="containsText" dxfId="1393" priority="1602" operator="containsText" text="Deleted">
      <formula>NOT(ISERROR(SEARCH("Deleted",I71)))</formula>
    </cfRule>
    <cfRule type="containsText" dxfId="1392" priority="1603" operator="containsText" text="In Danger of Falling Behind Target">
      <formula>NOT(ISERROR(SEARCH("In Danger of Falling Behind Target",I71)))</formula>
    </cfRule>
    <cfRule type="containsText" dxfId="1391" priority="1604" operator="containsText" text="Not yet due">
      <formula>NOT(ISERROR(SEARCH("Not yet due",I71)))</formula>
    </cfRule>
    <cfRule type="containsText" dxfId="1390" priority="1605" operator="containsText" text="Completed Behind Schedule">
      <formula>NOT(ISERROR(SEARCH("Completed Behind Schedule",I71)))</formula>
    </cfRule>
    <cfRule type="containsText" dxfId="1389" priority="1606" operator="containsText" text="Off Target">
      <formula>NOT(ISERROR(SEARCH("Off Target",I71)))</formula>
    </cfRule>
    <cfRule type="containsText" dxfId="1388" priority="1607" operator="containsText" text="In Danger of Falling Behind Target">
      <formula>NOT(ISERROR(SEARCH("In Danger of Falling Behind Target",I71)))</formula>
    </cfRule>
    <cfRule type="containsText" dxfId="1387" priority="1608" operator="containsText" text="On Track to be Achieved">
      <formula>NOT(ISERROR(SEARCH("On Track to be Achieved",I71)))</formula>
    </cfRule>
    <cfRule type="containsText" dxfId="1386" priority="1609" operator="containsText" text="Fully Achieved">
      <formula>NOT(ISERROR(SEARCH("Fully Achieved",I71)))</formula>
    </cfRule>
    <cfRule type="containsText" dxfId="1385" priority="1610" operator="containsText" text="Update not Provided">
      <formula>NOT(ISERROR(SEARCH("Update not Provided",I71)))</formula>
    </cfRule>
    <cfRule type="containsText" dxfId="1384" priority="1611" operator="containsText" text="Not yet due">
      <formula>NOT(ISERROR(SEARCH("Not yet due",I71)))</formula>
    </cfRule>
    <cfRule type="containsText" dxfId="1383" priority="1612" operator="containsText" text="Completed Behind Schedule">
      <formula>NOT(ISERROR(SEARCH("Completed Behind Schedule",I71)))</formula>
    </cfRule>
    <cfRule type="containsText" dxfId="1382" priority="1613" operator="containsText" text="Off Target">
      <formula>NOT(ISERROR(SEARCH("Off Target",I71)))</formula>
    </cfRule>
    <cfRule type="containsText" dxfId="1381" priority="1614" operator="containsText" text="In Danger of Falling Behind Target">
      <formula>NOT(ISERROR(SEARCH("In Danger of Falling Behind Target",I71)))</formula>
    </cfRule>
    <cfRule type="containsText" dxfId="1380" priority="1615" operator="containsText" text="On Track to be Achieved">
      <formula>NOT(ISERROR(SEARCH("On Track to be Achieved",I71)))</formula>
    </cfRule>
    <cfRule type="containsText" dxfId="1379" priority="1616" operator="containsText" text="Fully Achieved">
      <formula>NOT(ISERROR(SEARCH("Fully Achieved",I71)))</formula>
    </cfRule>
    <cfRule type="containsText" dxfId="1378" priority="1617" operator="containsText" text="Fully Achieved">
      <formula>NOT(ISERROR(SEARCH("Fully Achieved",I71)))</formula>
    </cfRule>
    <cfRule type="containsText" dxfId="1377" priority="1618" operator="containsText" text="Fully Achieved">
      <formula>NOT(ISERROR(SEARCH("Fully Achieved",I71)))</formula>
    </cfRule>
    <cfRule type="containsText" dxfId="1376" priority="1619" operator="containsText" text="Deferred">
      <formula>NOT(ISERROR(SEARCH("Deferred",I71)))</formula>
    </cfRule>
    <cfRule type="containsText" dxfId="1375" priority="1620" operator="containsText" text="Deleted">
      <formula>NOT(ISERROR(SEARCH("Deleted",I71)))</formula>
    </cfRule>
    <cfRule type="containsText" dxfId="1374" priority="1621" operator="containsText" text="In Danger of Falling Behind Target">
      <formula>NOT(ISERROR(SEARCH("In Danger of Falling Behind Target",I71)))</formula>
    </cfRule>
    <cfRule type="containsText" dxfId="1373" priority="1622" operator="containsText" text="Not yet due">
      <formula>NOT(ISERROR(SEARCH("Not yet due",I71)))</formula>
    </cfRule>
    <cfRule type="containsText" dxfId="1372" priority="1623" operator="containsText" text="Update not Provided">
      <formula>NOT(ISERROR(SEARCH("Update not Provided",I71)))</formula>
    </cfRule>
  </conditionalFormatting>
  <conditionalFormatting sqref="I71">
    <cfRule type="containsText" dxfId="1371" priority="1552" operator="containsText" text="On track to be achieved">
      <formula>NOT(ISERROR(SEARCH("On track to be achieved",I71)))</formula>
    </cfRule>
    <cfRule type="containsText" dxfId="1370" priority="1553" operator="containsText" text="Deferred">
      <formula>NOT(ISERROR(SEARCH("Deferred",I71)))</formula>
    </cfRule>
    <cfRule type="containsText" dxfId="1369" priority="1554" operator="containsText" text="Deleted">
      <formula>NOT(ISERROR(SEARCH("Deleted",I71)))</formula>
    </cfRule>
    <cfRule type="containsText" dxfId="1368" priority="1555" operator="containsText" text="In Danger of Falling Behind Target">
      <formula>NOT(ISERROR(SEARCH("In Danger of Falling Behind Target",I71)))</formula>
    </cfRule>
    <cfRule type="containsText" dxfId="1367" priority="1556" operator="containsText" text="Not yet due">
      <formula>NOT(ISERROR(SEARCH("Not yet due",I71)))</formula>
    </cfRule>
    <cfRule type="containsText" dxfId="1366" priority="1557" operator="containsText" text="Update not Provided">
      <formula>NOT(ISERROR(SEARCH("Update not Provided",I71)))</formula>
    </cfRule>
    <cfRule type="containsText" dxfId="1365" priority="1558" operator="containsText" text="Not yet due">
      <formula>NOT(ISERROR(SEARCH("Not yet due",I71)))</formula>
    </cfRule>
    <cfRule type="containsText" dxfId="1364" priority="1559" operator="containsText" text="Completed Behind Schedule">
      <formula>NOT(ISERROR(SEARCH("Completed Behind Schedule",I71)))</formula>
    </cfRule>
    <cfRule type="containsText" dxfId="1363" priority="1560" operator="containsText" text="Off Target">
      <formula>NOT(ISERROR(SEARCH("Off Target",I71)))</formula>
    </cfRule>
    <cfRule type="containsText" dxfId="1362" priority="1561" operator="containsText" text="On Track to be Achieved">
      <formula>NOT(ISERROR(SEARCH("On Track to be Achieved",I71)))</formula>
    </cfRule>
    <cfRule type="containsText" dxfId="1361" priority="1562" operator="containsText" text="Fully Achieved">
      <formula>NOT(ISERROR(SEARCH("Fully Achieved",I71)))</formula>
    </cfRule>
    <cfRule type="containsText" dxfId="1360" priority="1563" operator="containsText" text="Not yet due">
      <formula>NOT(ISERROR(SEARCH("Not yet due",I71)))</formula>
    </cfRule>
    <cfRule type="containsText" dxfId="1359" priority="1564" operator="containsText" text="Not Yet Due">
      <formula>NOT(ISERROR(SEARCH("Not Yet Due",I71)))</formula>
    </cfRule>
    <cfRule type="containsText" dxfId="1358" priority="1565" operator="containsText" text="Deferred">
      <formula>NOT(ISERROR(SEARCH("Deferred",I71)))</formula>
    </cfRule>
    <cfRule type="containsText" dxfId="1357" priority="1566" operator="containsText" text="Deleted">
      <formula>NOT(ISERROR(SEARCH("Deleted",I71)))</formula>
    </cfRule>
    <cfRule type="containsText" dxfId="1356" priority="1567" operator="containsText" text="In Danger of Falling Behind Target">
      <formula>NOT(ISERROR(SEARCH("In Danger of Falling Behind Target",I71)))</formula>
    </cfRule>
    <cfRule type="containsText" dxfId="1355" priority="1568" operator="containsText" text="Not yet due">
      <formula>NOT(ISERROR(SEARCH("Not yet due",I71)))</formula>
    </cfRule>
    <cfRule type="containsText" dxfId="1354" priority="1569" operator="containsText" text="Completed Behind Schedule">
      <formula>NOT(ISERROR(SEARCH("Completed Behind Schedule",I71)))</formula>
    </cfRule>
    <cfRule type="containsText" dxfId="1353" priority="1570" operator="containsText" text="Off Target">
      <formula>NOT(ISERROR(SEARCH("Off Target",I71)))</formula>
    </cfRule>
    <cfRule type="containsText" dxfId="1352" priority="1571" operator="containsText" text="In Danger of Falling Behind Target">
      <formula>NOT(ISERROR(SEARCH("In Danger of Falling Behind Target",I71)))</formula>
    </cfRule>
    <cfRule type="containsText" dxfId="1351" priority="1572" operator="containsText" text="On Track to be Achieved">
      <formula>NOT(ISERROR(SEARCH("On Track to be Achieved",I71)))</formula>
    </cfRule>
    <cfRule type="containsText" dxfId="1350" priority="1573" operator="containsText" text="Fully Achieved">
      <formula>NOT(ISERROR(SEARCH("Fully Achieved",I71)))</formula>
    </cfRule>
    <cfRule type="containsText" dxfId="1349" priority="1574" operator="containsText" text="Update not Provided">
      <formula>NOT(ISERROR(SEARCH("Update not Provided",I71)))</formula>
    </cfRule>
    <cfRule type="containsText" dxfId="1348" priority="1575" operator="containsText" text="Not yet due">
      <formula>NOT(ISERROR(SEARCH("Not yet due",I71)))</formula>
    </cfRule>
    <cfRule type="containsText" dxfId="1347" priority="1576" operator="containsText" text="Completed Behind Schedule">
      <formula>NOT(ISERROR(SEARCH("Completed Behind Schedule",I71)))</formula>
    </cfRule>
    <cfRule type="containsText" dxfId="1346" priority="1577" operator="containsText" text="Off Target">
      <formula>NOT(ISERROR(SEARCH("Off Target",I71)))</formula>
    </cfRule>
    <cfRule type="containsText" dxfId="1345" priority="1578" operator="containsText" text="In Danger of Falling Behind Target">
      <formula>NOT(ISERROR(SEARCH("In Danger of Falling Behind Target",I71)))</formula>
    </cfRule>
    <cfRule type="containsText" dxfId="1344" priority="1579" operator="containsText" text="On Track to be Achieved">
      <formula>NOT(ISERROR(SEARCH("On Track to be Achieved",I71)))</formula>
    </cfRule>
    <cfRule type="containsText" dxfId="1343" priority="1580" operator="containsText" text="Fully Achieved">
      <formula>NOT(ISERROR(SEARCH("Fully Achieved",I71)))</formula>
    </cfRule>
    <cfRule type="containsText" dxfId="1342" priority="1581" operator="containsText" text="Fully Achieved">
      <formula>NOT(ISERROR(SEARCH("Fully Achieved",I71)))</formula>
    </cfRule>
    <cfRule type="containsText" dxfId="1341" priority="1582" operator="containsText" text="Fully Achieved">
      <formula>NOT(ISERROR(SEARCH("Fully Achieved",I71)))</formula>
    </cfRule>
    <cfRule type="containsText" dxfId="1340" priority="1583" operator="containsText" text="Deferred">
      <formula>NOT(ISERROR(SEARCH("Deferred",I71)))</formula>
    </cfRule>
    <cfRule type="containsText" dxfId="1339" priority="1584" operator="containsText" text="Deleted">
      <formula>NOT(ISERROR(SEARCH("Deleted",I71)))</formula>
    </cfRule>
    <cfRule type="containsText" dxfId="1338" priority="1585" operator="containsText" text="In Danger of Falling Behind Target">
      <formula>NOT(ISERROR(SEARCH("In Danger of Falling Behind Target",I71)))</formula>
    </cfRule>
    <cfRule type="containsText" dxfId="1337" priority="1586" operator="containsText" text="Not yet due">
      <formula>NOT(ISERROR(SEARCH("Not yet due",I71)))</formula>
    </cfRule>
    <cfRule type="containsText" dxfId="1336" priority="1587" operator="containsText" text="Update not Provided">
      <formula>NOT(ISERROR(SEARCH("Update not Provided",I71)))</formula>
    </cfRule>
  </conditionalFormatting>
  <conditionalFormatting sqref="I72:I77">
    <cfRule type="containsText" dxfId="1335" priority="1516" operator="containsText" text="On track to be achieved">
      <formula>NOT(ISERROR(SEARCH("On track to be achieved",I72)))</formula>
    </cfRule>
    <cfRule type="containsText" dxfId="1334" priority="1517" operator="containsText" text="Deferred">
      <formula>NOT(ISERROR(SEARCH("Deferred",I72)))</formula>
    </cfRule>
    <cfRule type="containsText" dxfId="1333" priority="1518" operator="containsText" text="Deleted">
      <formula>NOT(ISERROR(SEARCH("Deleted",I72)))</formula>
    </cfRule>
    <cfRule type="containsText" dxfId="1332" priority="1519" operator="containsText" text="In Danger of Falling Behind Target">
      <formula>NOT(ISERROR(SEARCH("In Danger of Falling Behind Target",I72)))</formula>
    </cfRule>
    <cfRule type="containsText" dxfId="1331" priority="1520" operator="containsText" text="Not yet due">
      <formula>NOT(ISERROR(SEARCH("Not yet due",I72)))</formula>
    </cfRule>
    <cfRule type="containsText" dxfId="1330" priority="1521" operator="containsText" text="Update not Provided">
      <formula>NOT(ISERROR(SEARCH("Update not Provided",I72)))</formula>
    </cfRule>
    <cfRule type="containsText" dxfId="1329" priority="1522" operator="containsText" text="Not yet due">
      <formula>NOT(ISERROR(SEARCH("Not yet due",I72)))</formula>
    </cfRule>
    <cfRule type="containsText" dxfId="1328" priority="1523" operator="containsText" text="Completed Behind Schedule">
      <formula>NOT(ISERROR(SEARCH("Completed Behind Schedule",I72)))</formula>
    </cfRule>
    <cfRule type="containsText" dxfId="1327" priority="1524" operator="containsText" text="Off Target">
      <formula>NOT(ISERROR(SEARCH("Off Target",I72)))</formula>
    </cfRule>
    <cfRule type="containsText" dxfId="1326" priority="1525" operator="containsText" text="On Track to be Achieved">
      <formula>NOT(ISERROR(SEARCH("On Track to be Achieved",I72)))</formula>
    </cfRule>
    <cfRule type="containsText" dxfId="1325" priority="1526" operator="containsText" text="Fully Achieved">
      <formula>NOT(ISERROR(SEARCH("Fully Achieved",I72)))</formula>
    </cfRule>
    <cfRule type="containsText" dxfId="1324" priority="1527" operator="containsText" text="Not yet due">
      <formula>NOT(ISERROR(SEARCH("Not yet due",I72)))</formula>
    </cfRule>
    <cfRule type="containsText" dxfId="1323" priority="1528" operator="containsText" text="Not Yet Due">
      <formula>NOT(ISERROR(SEARCH("Not Yet Due",I72)))</formula>
    </cfRule>
    <cfRule type="containsText" dxfId="1322" priority="1529" operator="containsText" text="Deferred">
      <formula>NOT(ISERROR(SEARCH("Deferred",I72)))</formula>
    </cfRule>
    <cfRule type="containsText" dxfId="1321" priority="1530" operator="containsText" text="Deleted">
      <formula>NOT(ISERROR(SEARCH("Deleted",I72)))</formula>
    </cfRule>
    <cfRule type="containsText" dxfId="1320" priority="1531" operator="containsText" text="In Danger of Falling Behind Target">
      <formula>NOT(ISERROR(SEARCH("In Danger of Falling Behind Target",I72)))</formula>
    </cfRule>
    <cfRule type="containsText" dxfId="1319" priority="1532" operator="containsText" text="Not yet due">
      <formula>NOT(ISERROR(SEARCH("Not yet due",I72)))</formula>
    </cfRule>
    <cfRule type="containsText" dxfId="1318" priority="1533" operator="containsText" text="Completed Behind Schedule">
      <formula>NOT(ISERROR(SEARCH("Completed Behind Schedule",I72)))</formula>
    </cfRule>
    <cfRule type="containsText" dxfId="1317" priority="1534" operator="containsText" text="Off Target">
      <formula>NOT(ISERROR(SEARCH("Off Target",I72)))</formula>
    </cfRule>
    <cfRule type="containsText" dxfId="1316" priority="1535" operator="containsText" text="In Danger of Falling Behind Target">
      <formula>NOT(ISERROR(SEARCH("In Danger of Falling Behind Target",I72)))</formula>
    </cfRule>
    <cfRule type="containsText" dxfId="1315" priority="1536" operator="containsText" text="On Track to be Achieved">
      <formula>NOT(ISERROR(SEARCH("On Track to be Achieved",I72)))</formula>
    </cfRule>
    <cfRule type="containsText" dxfId="1314" priority="1537" operator="containsText" text="Fully Achieved">
      <formula>NOT(ISERROR(SEARCH("Fully Achieved",I72)))</formula>
    </cfRule>
    <cfRule type="containsText" dxfId="1313" priority="1538" operator="containsText" text="Update not Provided">
      <formula>NOT(ISERROR(SEARCH("Update not Provided",I72)))</formula>
    </cfRule>
    <cfRule type="containsText" dxfId="1312" priority="1539" operator="containsText" text="Not yet due">
      <formula>NOT(ISERROR(SEARCH("Not yet due",I72)))</formula>
    </cfRule>
    <cfRule type="containsText" dxfId="1311" priority="1540" operator="containsText" text="Completed Behind Schedule">
      <formula>NOT(ISERROR(SEARCH("Completed Behind Schedule",I72)))</formula>
    </cfRule>
    <cfRule type="containsText" dxfId="1310" priority="1541" operator="containsText" text="Off Target">
      <formula>NOT(ISERROR(SEARCH("Off Target",I72)))</formula>
    </cfRule>
    <cfRule type="containsText" dxfId="1309" priority="1542" operator="containsText" text="In Danger of Falling Behind Target">
      <formula>NOT(ISERROR(SEARCH("In Danger of Falling Behind Target",I72)))</formula>
    </cfRule>
    <cfRule type="containsText" dxfId="1308" priority="1543" operator="containsText" text="On Track to be Achieved">
      <formula>NOT(ISERROR(SEARCH("On Track to be Achieved",I72)))</formula>
    </cfRule>
    <cfRule type="containsText" dxfId="1307" priority="1544" operator="containsText" text="Fully Achieved">
      <formula>NOT(ISERROR(SEARCH("Fully Achieved",I72)))</formula>
    </cfRule>
    <cfRule type="containsText" dxfId="1306" priority="1545" operator="containsText" text="Fully Achieved">
      <formula>NOT(ISERROR(SEARCH("Fully Achieved",I72)))</formula>
    </cfRule>
    <cfRule type="containsText" dxfId="1305" priority="1546" operator="containsText" text="Fully Achieved">
      <formula>NOT(ISERROR(SEARCH("Fully Achieved",I72)))</formula>
    </cfRule>
    <cfRule type="containsText" dxfId="1304" priority="1547" operator="containsText" text="Deferred">
      <formula>NOT(ISERROR(SEARCH("Deferred",I72)))</formula>
    </cfRule>
    <cfRule type="containsText" dxfId="1303" priority="1548" operator="containsText" text="Deleted">
      <formula>NOT(ISERROR(SEARCH("Deleted",I72)))</formula>
    </cfRule>
    <cfRule type="containsText" dxfId="1302" priority="1549" operator="containsText" text="In Danger of Falling Behind Target">
      <formula>NOT(ISERROR(SEARCH("In Danger of Falling Behind Target",I72)))</formula>
    </cfRule>
    <cfRule type="containsText" dxfId="1301" priority="1550" operator="containsText" text="Not yet due">
      <formula>NOT(ISERROR(SEARCH("Not yet due",I72)))</formula>
    </cfRule>
    <cfRule type="containsText" dxfId="1300" priority="1551" operator="containsText" text="Update not Provided">
      <formula>NOT(ISERROR(SEARCH("Update not Provided",I72)))</formula>
    </cfRule>
  </conditionalFormatting>
  <conditionalFormatting sqref="I79:I81">
    <cfRule type="containsText" dxfId="1299" priority="1480" operator="containsText" text="On track to be achieved">
      <formula>NOT(ISERROR(SEARCH("On track to be achieved",I79)))</formula>
    </cfRule>
    <cfRule type="containsText" dxfId="1298" priority="1481" operator="containsText" text="Deferred">
      <formula>NOT(ISERROR(SEARCH("Deferred",I79)))</formula>
    </cfRule>
    <cfRule type="containsText" dxfId="1297" priority="1482" operator="containsText" text="Deleted">
      <formula>NOT(ISERROR(SEARCH("Deleted",I79)))</formula>
    </cfRule>
    <cfRule type="containsText" dxfId="1296" priority="1483" operator="containsText" text="In Danger of Falling Behind Target">
      <formula>NOT(ISERROR(SEARCH("In Danger of Falling Behind Target",I79)))</formula>
    </cfRule>
    <cfRule type="containsText" dxfId="1295" priority="1484" operator="containsText" text="Not yet due">
      <formula>NOT(ISERROR(SEARCH("Not yet due",I79)))</formula>
    </cfRule>
    <cfRule type="containsText" dxfId="1294" priority="1485" operator="containsText" text="Update not Provided">
      <formula>NOT(ISERROR(SEARCH("Update not Provided",I79)))</formula>
    </cfRule>
    <cfRule type="containsText" dxfId="1293" priority="1486" operator="containsText" text="Not yet due">
      <formula>NOT(ISERROR(SEARCH("Not yet due",I79)))</formula>
    </cfRule>
    <cfRule type="containsText" dxfId="1292" priority="1487" operator="containsText" text="Completed Behind Schedule">
      <formula>NOT(ISERROR(SEARCH("Completed Behind Schedule",I79)))</formula>
    </cfRule>
    <cfRule type="containsText" dxfId="1291" priority="1488" operator="containsText" text="Off Target">
      <formula>NOT(ISERROR(SEARCH("Off Target",I79)))</formula>
    </cfRule>
    <cfRule type="containsText" dxfId="1290" priority="1489" operator="containsText" text="On Track to be Achieved">
      <formula>NOT(ISERROR(SEARCH("On Track to be Achieved",I79)))</formula>
    </cfRule>
    <cfRule type="containsText" dxfId="1289" priority="1490" operator="containsText" text="Fully Achieved">
      <formula>NOT(ISERROR(SEARCH("Fully Achieved",I79)))</formula>
    </cfRule>
    <cfRule type="containsText" dxfId="1288" priority="1491" operator="containsText" text="Not yet due">
      <formula>NOT(ISERROR(SEARCH("Not yet due",I79)))</formula>
    </cfRule>
    <cfRule type="containsText" dxfId="1287" priority="1492" operator="containsText" text="Not Yet Due">
      <formula>NOT(ISERROR(SEARCH("Not Yet Due",I79)))</formula>
    </cfRule>
    <cfRule type="containsText" dxfId="1286" priority="1493" operator="containsText" text="Deferred">
      <formula>NOT(ISERROR(SEARCH("Deferred",I79)))</formula>
    </cfRule>
    <cfRule type="containsText" dxfId="1285" priority="1494" operator="containsText" text="Deleted">
      <formula>NOT(ISERROR(SEARCH("Deleted",I79)))</formula>
    </cfRule>
    <cfRule type="containsText" dxfId="1284" priority="1495" operator="containsText" text="In Danger of Falling Behind Target">
      <formula>NOT(ISERROR(SEARCH("In Danger of Falling Behind Target",I79)))</formula>
    </cfRule>
    <cfRule type="containsText" dxfId="1283" priority="1496" operator="containsText" text="Not yet due">
      <formula>NOT(ISERROR(SEARCH("Not yet due",I79)))</formula>
    </cfRule>
    <cfRule type="containsText" dxfId="1282" priority="1497" operator="containsText" text="Completed Behind Schedule">
      <formula>NOT(ISERROR(SEARCH("Completed Behind Schedule",I79)))</formula>
    </cfRule>
    <cfRule type="containsText" dxfId="1281" priority="1498" operator="containsText" text="Off Target">
      <formula>NOT(ISERROR(SEARCH("Off Target",I79)))</formula>
    </cfRule>
    <cfRule type="containsText" dxfId="1280" priority="1499" operator="containsText" text="In Danger of Falling Behind Target">
      <formula>NOT(ISERROR(SEARCH("In Danger of Falling Behind Target",I79)))</formula>
    </cfRule>
    <cfRule type="containsText" dxfId="1279" priority="1500" operator="containsText" text="On Track to be Achieved">
      <formula>NOT(ISERROR(SEARCH("On Track to be Achieved",I79)))</formula>
    </cfRule>
    <cfRule type="containsText" dxfId="1278" priority="1501" operator="containsText" text="Fully Achieved">
      <formula>NOT(ISERROR(SEARCH("Fully Achieved",I79)))</formula>
    </cfRule>
    <cfRule type="containsText" dxfId="1277" priority="1502" operator="containsText" text="Update not Provided">
      <formula>NOT(ISERROR(SEARCH("Update not Provided",I79)))</formula>
    </cfRule>
    <cfRule type="containsText" dxfId="1276" priority="1503" operator="containsText" text="Not yet due">
      <formula>NOT(ISERROR(SEARCH("Not yet due",I79)))</formula>
    </cfRule>
    <cfRule type="containsText" dxfId="1275" priority="1504" operator="containsText" text="Completed Behind Schedule">
      <formula>NOT(ISERROR(SEARCH("Completed Behind Schedule",I79)))</formula>
    </cfRule>
    <cfRule type="containsText" dxfId="1274" priority="1505" operator="containsText" text="Off Target">
      <formula>NOT(ISERROR(SEARCH("Off Target",I79)))</formula>
    </cfRule>
    <cfRule type="containsText" dxfId="1273" priority="1506" operator="containsText" text="In Danger of Falling Behind Target">
      <formula>NOT(ISERROR(SEARCH("In Danger of Falling Behind Target",I79)))</formula>
    </cfRule>
    <cfRule type="containsText" dxfId="1272" priority="1507" operator="containsText" text="On Track to be Achieved">
      <formula>NOT(ISERROR(SEARCH("On Track to be Achieved",I79)))</formula>
    </cfRule>
    <cfRule type="containsText" dxfId="1271" priority="1508" operator="containsText" text="Fully Achieved">
      <formula>NOT(ISERROR(SEARCH("Fully Achieved",I79)))</formula>
    </cfRule>
    <cfRule type="containsText" dxfId="1270" priority="1509" operator="containsText" text="Fully Achieved">
      <formula>NOT(ISERROR(SEARCH("Fully Achieved",I79)))</formula>
    </cfRule>
    <cfRule type="containsText" dxfId="1269" priority="1510" operator="containsText" text="Fully Achieved">
      <formula>NOT(ISERROR(SEARCH("Fully Achieved",I79)))</formula>
    </cfRule>
    <cfRule type="containsText" dxfId="1268" priority="1511" operator="containsText" text="Deferred">
      <formula>NOT(ISERROR(SEARCH("Deferred",I79)))</formula>
    </cfRule>
    <cfRule type="containsText" dxfId="1267" priority="1512" operator="containsText" text="Deleted">
      <formula>NOT(ISERROR(SEARCH("Deleted",I79)))</formula>
    </cfRule>
    <cfRule type="containsText" dxfId="1266" priority="1513" operator="containsText" text="In Danger of Falling Behind Target">
      <formula>NOT(ISERROR(SEARCH("In Danger of Falling Behind Target",I79)))</formula>
    </cfRule>
    <cfRule type="containsText" dxfId="1265" priority="1514" operator="containsText" text="Not yet due">
      <formula>NOT(ISERROR(SEARCH("Not yet due",I79)))</formula>
    </cfRule>
    <cfRule type="containsText" dxfId="1264" priority="1515" operator="containsText" text="Update not Provided">
      <formula>NOT(ISERROR(SEARCH("Update not Provided",I79)))</formula>
    </cfRule>
  </conditionalFormatting>
  <conditionalFormatting sqref="I82">
    <cfRule type="containsText" dxfId="1263" priority="1444" operator="containsText" text="On track to be achieved">
      <formula>NOT(ISERROR(SEARCH("On track to be achieved",I82)))</formula>
    </cfRule>
    <cfRule type="containsText" dxfId="1262" priority="1445" operator="containsText" text="Deferred">
      <formula>NOT(ISERROR(SEARCH("Deferred",I82)))</formula>
    </cfRule>
    <cfRule type="containsText" dxfId="1261" priority="1446" operator="containsText" text="Deleted">
      <formula>NOT(ISERROR(SEARCH("Deleted",I82)))</formula>
    </cfRule>
    <cfRule type="containsText" dxfId="1260" priority="1447" operator="containsText" text="In Danger of Falling Behind Target">
      <formula>NOT(ISERROR(SEARCH("In Danger of Falling Behind Target",I82)))</formula>
    </cfRule>
    <cfRule type="containsText" dxfId="1259" priority="1448" operator="containsText" text="Not yet due">
      <formula>NOT(ISERROR(SEARCH("Not yet due",I82)))</formula>
    </cfRule>
    <cfRule type="containsText" dxfId="1258" priority="1449" operator="containsText" text="Update not Provided">
      <formula>NOT(ISERROR(SEARCH("Update not Provided",I82)))</formula>
    </cfRule>
    <cfRule type="containsText" dxfId="1257" priority="1450" operator="containsText" text="Not yet due">
      <formula>NOT(ISERROR(SEARCH("Not yet due",I82)))</formula>
    </cfRule>
    <cfRule type="containsText" dxfId="1256" priority="1451" operator="containsText" text="Completed Behind Schedule">
      <formula>NOT(ISERROR(SEARCH("Completed Behind Schedule",I82)))</formula>
    </cfRule>
    <cfRule type="containsText" dxfId="1255" priority="1452" operator="containsText" text="Off Target">
      <formula>NOT(ISERROR(SEARCH("Off Target",I82)))</formula>
    </cfRule>
    <cfRule type="containsText" dxfId="1254" priority="1453" operator="containsText" text="On Track to be Achieved">
      <formula>NOT(ISERROR(SEARCH("On Track to be Achieved",I82)))</formula>
    </cfRule>
    <cfRule type="containsText" dxfId="1253" priority="1454" operator="containsText" text="Fully Achieved">
      <formula>NOT(ISERROR(SEARCH("Fully Achieved",I82)))</formula>
    </cfRule>
    <cfRule type="containsText" dxfId="1252" priority="1455" operator="containsText" text="Not yet due">
      <formula>NOT(ISERROR(SEARCH("Not yet due",I82)))</formula>
    </cfRule>
    <cfRule type="containsText" dxfId="1251" priority="1456" operator="containsText" text="Not Yet Due">
      <formula>NOT(ISERROR(SEARCH("Not Yet Due",I82)))</formula>
    </cfRule>
    <cfRule type="containsText" dxfId="1250" priority="1457" operator="containsText" text="Deferred">
      <formula>NOT(ISERROR(SEARCH("Deferred",I82)))</formula>
    </cfRule>
    <cfRule type="containsText" dxfId="1249" priority="1458" operator="containsText" text="Deleted">
      <formula>NOT(ISERROR(SEARCH("Deleted",I82)))</formula>
    </cfRule>
    <cfRule type="containsText" dxfId="1248" priority="1459" operator="containsText" text="In Danger of Falling Behind Target">
      <formula>NOT(ISERROR(SEARCH("In Danger of Falling Behind Target",I82)))</formula>
    </cfRule>
    <cfRule type="containsText" dxfId="1247" priority="1460" operator="containsText" text="Not yet due">
      <formula>NOT(ISERROR(SEARCH("Not yet due",I82)))</formula>
    </cfRule>
    <cfRule type="containsText" dxfId="1246" priority="1461" operator="containsText" text="Completed Behind Schedule">
      <formula>NOT(ISERROR(SEARCH("Completed Behind Schedule",I82)))</formula>
    </cfRule>
    <cfRule type="containsText" dxfId="1245" priority="1462" operator="containsText" text="Off Target">
      <formula>NOT(ISERROR(SEARCH("Off Target",I82)))</formula>
    </cfRule>
    <cfRule type="containsText" dxfId="1244" priority="1463" operator="containsText" text="In Danger of Falling Behind Target">
      <formula>NOT(ISERROR(SEARCH("In Danger of Falling Behind Target",I82)))</formula>
    </cfRule>
    <cfRule type="containsText" dxfId="1243" priority="1464" operator="containsText" text="On Track to be Achieved">
      <formula>NOT(ISERROR(SEARCH("On Track to be Achieved",I82)))</formula>
    </cfRule>
    <cfRule type="containsText" dxfId="1242" priority="1465" operator="containsText" text="Fully Achieved">
      <formula>NOT(ISERROR(SEARCH("Fully Achieved",I82)))</formula>
    </cfRule>
    <cfRule type="containsText" dxfId="1241" priority="1466" operator="containsText" text="Update not Provided">
      <formula>NOT(ISERROR(SEARCH("Update not Provided",I82)))</formula>
    </cfRule>
    <cfRule type="containsText" dxfId="1240" priority="1467" operator="containsText" text="Not yet due">
      <formula>NOT(ISERROR(SEARCH("Not yet due",I82)))</formula>
    </cfRule>
    <cfRule type="containsText" dxfId="1239" priority="1468" operator="containsText" text="Completed Behind Schedule">
      <formula>NOT(ISERROR(SEARCH("Completed Behind Schedule",I82)))</formula>
    </cfRule>
    <cfRule type="containsText" dxfId="1238" priority="1469" operator="containsText" text="Off Target">
      <formula>NOT(ISERROR(SEARCH("Off Target",I82)))</formula>
    </cfRule>
    <cfRule type="containsText" dxfId="1237" priority="1470" operator="containsText" text="In Danger of Falling Behind Target">
      <formula>NOT(ISERROR(SEARCH("In Danger of Falling Behind Target",I82)))</formula>
    </cfRule>
    <cfRule type="containsText" dxfId="1236" priority="1471" operator="containsText" text="On Track to be Achieved">
      <formula>NOT(ISERROR(SEARCH("On Track to be Achieved",I82)))</formula>
    </cfRule>
    <cfRule type="containsText" dxfId="1235" priority="1472" operator="containsText" text="Fully Achieved">
      <formula>NOT(ISERROR(SEARCH("Fully Achieved",I82)))</formula>
    </cfRule>
    <cfRule type="containsText" dxfId="1234" priority="1473" operator="containsText" text="Fully Achieved">
      <formula>NOT(ISERROR(SEARCH("Fully Achieved",I82)))</formula>
    </cfRule>
    <cfRule type="containsText" dxfId="1233" priority="1474" operator="containsText" text="Fully Achieved">
      <formula>NOT(ISERROR(SEARCH("Fully Achieved",I82)))</formula>
    </cfRule>
    <cfRule type="containsText" dxfId="1232" priority="1475" operator="containsText" text="Deferred">
      <formula>NOT(ISERROR(SEARCH("Deferred",I82)))</formula>
    </cfRule>
    <cfRule type="containsText" dxfId="1231" priority="1476" operator="containsText" text="Deleted">
      <formula>NOT(ISERROR(SEARCH("Deleted",I82)))</formula>
    </cfRule>
    <cfRule type="containsText" dxfId="1230" priority="1477" operator="containsText" text="In Danger of Falling Behind Target">
      <formula>NOT(ISERROR(SEARCH("In Danger of Falling Behind Target",I82)))</formula>
    </cfRule>
    <cfRule type="containsText" dxfId="1229" priority="1478" operator="containsText" text="Not yet due">
      <formula>NOT(ISERROR(SEARCH("Not yet due",I82)))</formula>
    </cfRule>
    <cfRule type="containsText" dxfId="1228" priority="1479" operator="containsText" text="Update not Provided">
      <formula>NOT(ISERROR(SEARCH("Update not Provided",I82)))</formula>
    </cfRule>
  </conditionalFormatting>
  <conditionalFormatting sqref="I84:I88">
    <cfRule type="containsText" dxfId="1227" priority="1408" operator="containsText" text="On track to be achieved">
      <formula>NOT(ISERROR(SEARCH("On track to be achieved",I84)))</formula>
    </cfRule>
    <cfRule type="containsText" dxfId="1226" priority="1409" operator="containsText" text="Deferred">
      <formula>NOT(ISERROR(SEARCH("Deferred",I84)))</formula>
    </cfRule>
    <cfRule type="containsText" dxfId="1225" priority="1410" operator="containsText" text="Deleted">
      <formula>NOT(ISERROR(SEARCH("Deleted",I84)))</formula>
    </cfRule>
    <cfRule type="containsText" dxfId="1224" priority="1411" operator="containsText" text="In Danger of Falling Behind Target">
      <formula>NOT(ISERROR(SEARCH("In Danger of Falling Behind Target",I84)))</formula>
    </cfRule>
    <cfRule type="containsText" dxfId="1223" priority="1412" operator="containsText" text="Not yet due">
      <formula>NOT(ISERROR(SEARCH("Not yet due",I84)))</formula>
    </cfRule>
    <cfRule type="containsText" dxfId="1222" priority="1413" operator="containsText" text="Update not Provided">
      <formula>NOT(ISERROR(SEARCH("Update not Provided",I84)))</formula>
    </cfRule>
    <cfRule type="containsText" dxfId="1221" priority="1414" operator="containsText" text="Not yet due">
      <formula>NOT(ISERROR(SEARCH("Not yet due",I84)))</formula>
    </cfRule>
    <cfRule type="containsText" dxfId="1220" priority="1415" operator="containsText" text="Completed Behind Schedule">
      <formula>NOT(ISERROR(SEARCH("Completed Behind Schedule",I84)))</formula>
    </cfRule>
    <cfRule type="containsText" dxfId="1219" priority="1416" operator="containsText" text="Off Target">
      <formula>NOT(ISERROR(SEARCH("Off Target",I84)))</formula>
    </cfRule>
    <cfRule type="containsText" dxfId="1218" priority="1417" operator="containsText" text="On Track to be Achieved">
      <formula>NOT(ISERROR(SEARCH("On Track to be Achieved",I84)))</formula>
    </cfRule>
    <cfRule type="containsText" dxfId="1217" priority="1418" operator="containsText" text="Fully Achieved">
      <formula>NOT(ISERROR(SEARCH("Fully Achieved",I84)))</formula>
    </cfRule>
    <cfRule type="containsText" dxfId="1216" priority="1419" operator="containsText" text="Not yet due">
      <formula>NOT(ISERROR(SEARCH("Not yet due",I84)))</formula>
    </cfRule>
    <cfRule type="containsText" dxfId="1215" priority="1420" operator="containsText" text="Not Yet Due">
      <formula>NOT(ISERROR(SEARCH("Not Yet Due",I84)))</formula>
    </cfRule>
    <cfRule type="containsText" dxfId="1214" priority="1421" operator="containsText" text="Deferred">
      <formula>NOT(ISERROR(SEARCH("Deferred",I84)))</formula>
    </cfRule>
    <cfRule type="containsText" dxfId="1213" priority="1422" operator="containsText" text="Deleted">
      <formula>NOT(ISERROR(SEARCH("Deleted",I84)))</formula>
    </cfRule>
    <cfRule type="containsText" dxfId="1212" priority="1423" operator="containsText" text="In Danger of Falling Behind Target">
      <formula>NOT(ISERROR(SEARCH("In Danger of Falling Behind Target",I84)))</formula>
    </cfRule>
    <cfRule type="containsText" dxfId="1211" priority="1424" operator="containsText" text="Not yet due">
      <formula>NOT(ISERROR(SEARCH("Not yet due",I84)))</formula>
    </cfRule>
    <cfRule type="containsText" dxfId="1210" priority="1425" operator="containsText" text="Completed Behind Schedule">
      <formula>NOT(ISERROR(SEARCH("Completed Behind Schedule",I84)))</formula>
    </cfRule>
    <cfRule type="containsText" dxfId="1209" priority="1426" operator="containsText" text="Off Target">
      <formula>NOT(ISERROR(SEARCH("Off Target",I84)))</formula>
    </cfRule>
    <cfRule type="containsText" dxfId="1208" priority="1427" operator="containsText" text="In Danger of Falling Behind Target">
      <formula>NOT(ISERROR(SEARCH("In Danger of Falling Behind Target",I84)))</formula>
    </cfRule>
    <cfRule type="containsText" dxfId="1207" priority="1428" operator="containsText" text="On Track to be Achieved">
      <formula>NOT(ISERROR(SEARCH("On Track to be Achieved",I84)))</formula>
    </cfRule>
    <cfRule type="containsText" dxfId="1206" priority="1429" operator="containsText" text="Fully Achieved">
      <formula>NOT(ISERROR(SEARCH("Fully Achieved",I84)))</formula>
    </cfRule>
    <cfRule type="containsText" dxfId="1205" priority="1430" operator="containsText" text="Update not Provided">
      <formula>NOT(ISERROR(SEARCH("Update not Provided",I84)))</formula>
    </cfRule>
    <cfRule type="containsText" dxfId="1204" priority="1431" operator="containsText" text="Not yet due">
      <formula>NOT(ISERROR(SEARCH("Not yet due",I84)))</formula>
    </cfRule>
    <cfRule type="containsText" dxfId="1203" priority="1432" operator="containsText" text="Completed Behind Schedule">
      <formula>NOT(ISERROR(SEARCH("Completed Behind Schedule",I84)))</formula>
    </cfRule>
    <cfRule type="containsText" dxfId="1202" priority="1433" operator="containsText" text="Off Target">
      <formula>NOT(ISERROR(SEARCH("Off Target",I84)))</formula>
    </cfRule>
    <cfRule type="containsText" dxfId="1201" priority="1434" operator="containsText" text="In Danger of Falling Behind Target">
      <formula>NOT(ISERROR(SEARCH("In Danger of Falling Behind Target",I84)))</formula>
    </cfRule>
    <cfRule type="containsText" dxfId="1200" priority="1435" operator="containsText" text="On Track to be Achieved">
      <formula>NOT(ISERROR(SEARCH("On Track to be Achieved",I84)))</formula>
    </cfRule>
    <cfRule type="containsText" dxfId="1199" priority="1436" operator="containsText" text="Fully Achieved">
      <formula>NOT(ISERROR(SEARCH("Fully Achieved",I84)))</formula>
    </cfRule>
    <cfRule type="containsText" dxfId="1198" priority="1437" operator="containsText" text="Fully Achieved">
      <formula>NOT(ISERROR(SEARCH("Fully Achieved",I84)))</formula>
    </cfRule>
    <cfRule type="containsText" dxfId="1197" priority="1438" operator="containsText" text="Fully Achieved">
      <formula>NOT(ISERROR(SEARCH("Fully Achieved",I84)))</formula>
    </cfRule>
    <cfRule type="containsText" dxfId="1196" priority="1439" operator="containsText" text="Deferred">
      <formula>NOT(ISERROR(SEARCH("Deferred",I84)))</formula>
    </cfRule>
    <cfRule type="containsText" dxfId="1195" priority="1440" operator="containsText" text="Deleted">
      <formula>NOT(ISERROR(SEARCH("Deleted",I84)))</formula>
    </cfRule>
    <cfRule type="containsText" dxfId="1194" priority="1441" operator="containsText" text="In Danger of Falling Behind Target">
      <formula>NOT(ISERROR(SEARCH("In Danger of Falling Behind Target",I84)))</formula>
    </cfRule>
    <cfRule type="containsText" dxfId="1193" priority="1442" operator="containsText" text="Not yet due">
      <formula>NOT(ISERROR(SEARCH("Not yet due",I84)))</formula>
    </cfRule>
    <cfRule type="containsText" dxfId="1192" priority="1443" operator="containsText" text="Update not Provided">
      <formula>NOT(ISERROR(SEARCH("Update not Provided",I84)))</formula>
    </cfRule>
  </conditionalFormatting>
  <conditionalFormatting sqref="I89:I91">
    <cfRule type="containsText" dxfId="1191" priority="1372" operator="containsText" text="On track to be achieved">
      <formula>NOT(ISERROR(SEARCH("On track to be achieved",I89)))</formula>
    </cfRule>
    <cfRule type="containsText" dxfId="1190" priority="1373" operator="containsText" text="Deferred">
      <formula>NOT(ISERROR(SEARCH("Deferred",I89)))</formula>
    </cfRule>
    <cfRule type="containsText" dxfId="1189" priority="1374" operator="containsText" text="Deleted">
      <formula>NOT(ISERROR(SEARCH("Deleted",I89)))</formula>
    </cfRule>
    <cfRule type="containsText" dxfId="1188" priority="1375" operator="containsText" text="In Danger of Falling Behind Target">
      <formula>NOT(ISERROR(SEARCH("In Danger of Falling Behind Target",I89)))</formula>
    </cfRule>
    <cfRule type="containsText" dxfId="1187" priority="1376" operator="containsText" text="Not yet due">
      <formula>NOT(ISERROR(SEARCH("Not yet due",I89)))</formula>
    </cfRule>
    <cfRule type="containsText" dxfId="1186" priority="1377" operator="containsText" text="Update not Provided">
      <formula>NOT(ISERROR(SEARCH("Update not Provided",I89)))</formula>
    </cfRule>
    <cfRule type="containsText" dxfId="1185" priority="1378" operator="containsText" text="Not yet due">
      <formula>NOT(ISERROR(SEARCH("Not yet due",I89)))</formula>
    </cfRule>
    <cfRule type="containsText" dxfId="1184" priority="1379" operator="containsText" text="Completed Behind Schedule">
      <formula>NOT(ISERROR(SEARCH("Completed Behind Schedule",I89)))</formula>
    </cfRule>
    <cfRule type="containsText" dxfId="1183" priority="1380" operator="containsText" text="Off Target">
      <formula>NOT(ISERROR(SEARCH("Off Target",I89)))</formula>
    </cfRule>
    <cfRule type="containsText" dxfId="1182" priority="1381" operator="containsText" text="On Track to be Achieved">
      <formula>NOT(ISERROR(SEARCH("On Track to be Achieved",I89)))</formula>
    </cfRule>
    <cfRule type="containsText" dxfId="1181" priority="1382" operator="containsText" text="Fully Achieved">
      <formula>NOT(ISERROR(SEARCH("Fully Achieved",I89)))</formula>
    </cfRule>
    <cfRule type="containsText" dxfId="1180" priority="1383" operator="containsText" text="Not yet due">
      <formula>NOT(ISERROR(SEARCH("Not yet due",I89)))</formula>
    </cfRule>
    <cfRule type="containsText" dxfId="1179" priority="1384" operator="containsText" text="Not Yet Due">
      <formula>NOT(ISERROR(SEARCH("Not Yet Due",I89)))</formula>
    </cfRule>
    <cfRule type="containsText" dxfId="1178" priority="1385" operator="containsText" text="Deferred">
      <formula>NOT(ISERROR(SEARCH("Deferred",I89)))</formula>
    </cfRule>
    <cfRule type="containsText" dxfId="1177" priority="1386" operator="containsText" text="Deleted">
      <formula>NOT(ISERROR(SEARCH("Deleted",I89)))</formula>
    </cfRule>
    <cfRule type="containsText" dxfId="1176" priority="1387" operator="containsText" text="In Danger of Falling Behind Target">
      <formula>NOT(ISERROR(SEARCH("In Danger of Falling Behind Target",I89)))</formula>
    </cfRule>
    <cfRule type="containsText" dxfId="1175" priority="1388" operator="containsText" text="Not yet due">
      <formula>NOT(ISERROR(SEARCH("Not yet due",I89)))</formula>
    </cfRule>
    <cfRule type="containsText" dxfId="1174" priority="1389" operator="containsText" text="Completed Behind Schedule">
      <formula>NOT(ISERROR(SEARCH("Completed Behind Schedule",I89)))</formula>
    </cfRule>
    <cfRule type="containsText" dxfId="1173" priority="1390" operator="containsText" text="Off Target">
      <formula>NOT(ISERROR(SEARCH("Off Target",I89)))</formula>
    </cfRule>
    <cfRule type="containsText" dxfId="1172" priority="1391" operator="containsText" text="In Danger of Falling Behind Target">
      <formula>NOT(ISERROR(SEARCH("In Danger of Falling Behind Target",I89)))</formula>
    </cfRule>
    <cfRule type="containsText" dxfId="1171" priority="1392" operator="containsText" text="On Track to be Achieved">
      <formula>NOT(ISERROR(SEARCH("On Track to be Achieved",I89)))</formula>
    </cfRule>
    <cfRule type="containsText" dxfId="1170" priority="1393" operator="containsText" text="Fully Achieved">
      <formula>NOT(ISERROR(SEARCH("Fully Achieved",I89)))</formula>
    </cfRule>
    <cfRule type="containsText" dxfId="1169" priority="1394" operator="containsText" text="Update not Provided">
      <formula>NOT(ISERROR(SEARCH("Update not Provided",I89)))</formula>
    </cfRule>
    <cfRule type="containsText" dxfId="1168" priority="1395" operator="containsText" text="Not yet due">
      <formula>NOT(ISERROR(SEARCH("Not yet due",I89)))</formula>
    </cfRule>
    <cfRule type="containsText" dxfId="1167" priority="1396" operator="containsText" text="Completed Behind Schedule">
      <formula>NOT(ISERROR(SEARCH("Completed Behind Schedule",I89)))</formula>
    </cfRule>
    <cfRule type="containsText" dxfId="1166" priority="1397" operator="containsText" text="Off Target">
      <formula>NOT(ISERROR(SEARCH("Off Target",I89)))</formula>
    </cfRule>
    <cfRule type="containsText" dxfId="1165" priority="1398" operator="containsText" text="In Danger of Falling Behind Target">
      <formula>NOT(ISERROR(SEARCH("In Danger of Falling Behind Target",I89)))</formula>
    </cfRule>
    <cfRule type="containsText" dxfId="1164" priority="1399" operator="containsText" text="On Track to be Achieved">
      <formula>NOT(ISERROR(SEARCH("On Track to be Achieved",I89)))</formula>
    </cfRule>
    <cfRule type="containsText" dxfId="1163" priority="1400" operator="containsText" text="Fully Achieved">
      <formula>NOT(ISERROR(SEARCH("Fully Achieved",I89)))</formula>
    </cfRule>
    <cfRule type="containsText" dxfId="1162" priority="1401" operator="containsText" text="Fully Achieved">
      <formula>NOT(ISERROR(SEARCH("Fully Achieved",I89)))</formula>
    </cfRule>
    <cfRule type="containsText" dxfId="1161" priority="1402" operator="containsText" text="Fully Achieved">
      <formula>NOT(ISERROR(SEARCH("Fully Achieved",I89)))</formula>
    </cfRule>
    <cfRule type="containsText" dxfId="1160" priority="1403" operator="containsText" text="Deferred">
      <formula>NOT(ISERROR(SEARCH("Deferred",I89)))</formula>
    </cfRule>
    <cfRule type="containsText" dxfId="1159" priority="1404" operator="containsText" text="Deleted">
      <formula>NOT(ISERROR(SEARCH("Deleted",I89)))</formula>
    </cfRule>
    <cfRule type="containsText" dxfId="1158" priority="1405" operator="containsText" text="In Danger of Falling Behind Target">
      <formula>NOT(ISERROR(SEARCH("In Danger of Falling Behind Target",I89)))</formula>
    </cfRule>
    <cfRule type="containsText" dxfId="1157" priority="1406" operator="containsText" text="Not yet due">
      <formula>NOT(ISERROR(SEARCH("Not yet due",I89)))</formula>
    </cfRule>
    <cfRule type="containsText" dxfId="1156" priority="1407" operator="containsText" text="Update not Provided">
      <formula>NOT(ISERROR(SEARCH("Update not Provided",I89)))</formula>
    </cfRule>
  </conditionalFormatting>
  <conditionalFormatting sqref="I92:I96">
    <cfRule type="containsText" dxfId="1155" priority="1336" operator="containsText" text="On track to be achieved">
      <formula>NOT(ISERROR(SEARCH("On track to be achieved",I92)))</formula>
    </cfRule>
    <cfRule type="containsText" dxfId="1154" priority="1337" operator="containsText" text="Deferred">
      <formula>NOT(ISERROR(SEARCH("Deferred",I92)))</formula>
    </cfRule>
    <cfRule type="containsText" dxfId="1153" priority="1338" operator="containsText" text="Deleted">
      <formula>NOT(ISERROR(SEARCH("Deleted",I92)))</formula>
    </cfRule>
    <cfRule type="containsText" dxfId="1152" priority="1339" operator="containsText" text="In Danger of Falling Behind Target">
      <formula>NOT(ISERROR(SEARCH("In Danger of Falling Behind Target",I92)))</formula>
    </cfRule>
    <cfRule type="containsText" dxfId="1151" priority="1340" operator="containsText" text="Not yet due">
      <formula>NOT(ISERROR(SEARCH("Not yet due",I92)))</formula>
    </cfRule>
    <cfRule type="containsText" dxfId="1150" priority="1341" operator="containsText" text="Update not Provided">
      <formula>NOT(ISERROR(SEARCH("Update not Provided",I92)))</formula>
    </cfRule>
    <cfRule type="containsText" dxfId="1149" priority="1342" operator="containsText" text="Not yet due">
      <formula>NOT(ISERROR(SEARCH("Not yet due",I92)))</formula>
    </cfRule>
    <cfRule type="containsText" dxfId="1148" priority="1343" operator="containsText" text="Completed Behind Schedule">
      <formula>NOT(ISERROR(SEARCH("Completed Behind Schedule",I92)))</formula>
    </cfRule>
    <cfRule type="containsText" dxfId="1147" priority="1344" operator="containsText" text="Off Target">
      <formula>NOT(ISERROR(SEARCH("Off Target",I92)))</formula>
    </cfRule>
    <cfRule type="containsText" dxfId="1146" priority="1345" operator="containsText" text="On Track to be Achieved">
      <formula>NOT(ISERROR(SEARCH("On Track to be Achieved",I92)))</formula>
    </cfRule>
    <cfRule type="containsText" dxfId="1145" priority="1346" operator="containsText" text="Fully Achieved">
      <formula>NOT(ISERROR(SEARCH("Fully Achieved",I92)))</formula>
    </cfRule>
    <cfRule type="containsText" dxfId="1144" priority="1347" operator="containsText" text="Not yet due">
      <formula>NOT(ISERROR(SEARCH("Not yet due",I92)))</formula>
    </cfRule>
    <cfRule type="containsText" dxfId="1143" priority="1348" operator="containsText" text="Not Yet Due">
      <formula>NOT(ISERROR(SEARCH("Not Yet Due",I92)))</formula>
    </cfRule>
    <cfRule type="containsText" dxfId="1142" priority="1349" operator="containsText" text="Deferred">
      <formula>NOT(ISERROR(SEARCH("Deferred",I92)))</formula>
    </cfRule>
    <cfRule type="containsText" dxfId="1141" priority="1350" operator="containsText" text="Deleted">
      <formula>NOT(ISERROR(SEARCH("Deleted",I92)))</formula>
    </cfRule>
    <cfRule type="containsText" dxfId="1140" priority="1351" operator="containsText" text="In Danger of Falling Behind Target">
      <formula>NOT(ISERROR(SEARCH("In Danger of Falling Behind Target",I92)))</formula>
    </cfRule>
    <cfRule type="containsText" dxfId="1139" priority="1352" operator="containsText" text="Not yet due">
      <formula>NOT(ISERROR(SEARCH("Not yet due",I92)))</formula>
    </cfRule>
    <cfRule type="containsText" dxfId="1138" priority="1353" operator="containsText" text="Completed Behind Schedule">
      <formula>NOT(ISERROR(SEARCH("Completed Behind Schedule",I92)))</formula>
    </cfRule>
    <cfRule type="containsText" dxfId="1137" priority="1354" operator="containsText" text="Off Target">
      <formula>NOT(ISERROR(SEARCH("Off Target",I92)))</formula>
    </cfRule>
    <cfRule type="containsText" dxfId="1136" priority="1355" operator="containsText" text="In Danger of Falling Behind Target">
      <formula>NOT(ISERROR(SEARCH("In Danger of Falling Behind Target",I92)))</formula>
    </cfRule>
    <cfRule type="containsText" dxfId="1135" priority="1356" operator="containsText" text="On Track to be Achieved">
      <formula>NOT(ISERROR(SEARCH("On Track to be Achieved",I92)))</formula>
    </cfRule>
    <cfRule type="containsText" dxfId="1134" priority="1357" operator="containsText" text="Fully Achieved">
      <formula>NOT(ISERROR(SEARCH("Fully Achieved",I92)))</formula>
    </cfRule>
    <cfRule type="containsText" dxfId="1133" priority="1358" operator="containsText" text="Update not Provided">
      <formula>NOT(ISERROR(SEARCH("Update not Provided",I92)))</formula>
    </cfRule>
    <cfRule type="containsText" dxfId="1132" priority="1359" operator="containsText" text="Not yet due">
      <formula>NOT(ISERROR(SEARCH("Not yet due",I92)))</formula>
    </cfRule>
    <cfRule type="containsText" dxfId="1131" priority="1360" operator="containsText" text="Completed Behind Schedule">
      <formula>NOT(ISERROR(SEARCH("Completed Behind Schedule",I92)))</formula>
    </cfRule>
    <cfRule type="containsText" dxfId="1130" priority="1361" operator="containsText" text="Off Target">
      <formula>NOT(ISERROR(SEARCH("Off Target",I92)))</formula>
    </cfRule>
    <cfRule type="containsText" dxfId="1129" priority="1362" operator="containsText" text="In Danger of Falling Behind Target">
      <formula>NOT(ISERROR(SEARCH("In Danger of Falling Behind Target",I92)))</formula>
    </cfRule>
    <cfRule type="containsText" dxfId="1128" priority="1363" operator="containsText" text="On Track to be Achieved">
      <formula>NOT(ISERROR(SEARCH("On Track to be Achieved",I92)))</formula>
    </cfRule>
    <cfRule type="containsText" dxfId="1127" priority="1364" operator="containsText" text="Fully Achieved">
      <formula>NOT(ISERROR(SEARCH("Fully Achieved",I92)))</formula>
    </cfRule>
    <cfRule type="containsText" dxfId="1126" priority="1365" operator="containsText" text="Fully Achieved">
      <formula>NOT(ISERROR(SEARCH("Fully Achieved",I92)))</formula>
    </cfRule>
    <cfRule type="containsText" dxfId="1125" priority="1366" operator="containsText" text="Fully Achieved">
      <formula>NOT(ISERROR(SEARCH("Fully Achieved",I92)))</formula>
    </cfRule>
    <cfRule type="containsText" dxfId="1124" priority="1367" operator="containsText" text="Deferred">
      <formula>NOT(ISERROR(SEARCH("Deferred",I92)))</formula>
    </cfRule>
    <cfRule type="containsText" dxfId="1123" priority="1368" operator="containsText" text="Deleted">
      <formula>NOT(ISERROR(SEARCH("Deleted",I92)))</formula>
    </cfRule>
    <cfRule type="containsText" dxfId="1122" priority="1369" operator="containsText" text="In Danger of Falling Behind Target">
      <formula>NOT(ISERROR(SEARCH("In Danger of Falling Behind Target",I92)))</formula>
    </cfRule>
    <cfRule type="containsText" dxfId="1121" priority="1370" operator="containsText" text="Not yet due">
      <formula>NOT(ISERROR(SEARCH("Not yet due",I92)))</formula>
    </cfRule>
    <cfRule type="containsText" dxfId="1120" priority="1371" operator="containsText" text="Update not Provided">
      <formula>NOT(ISERROR(SEARCH("Update not Provided",I92)))</formula>
    </cfRule>
  </conditionalFormatting>
  <conditionalFormatting sqref="I97:I98">
    <cfRule type="containsText" dxfId="1119" priority="1300" operator="containsText" text="On track to be achieved">
      <formula>NOT(ISERROR(SEARCH("On track to be achieved",I97)))</formula>
    </cfRule>
    <cfRule type="containsText" dxfId="1118" priority="1301" operator="containsText" text="Deferred">
      <formula>NOT(ISERROR(SEARCH("Deferred",I97)))</formula>
    </cfRule>
    <cfRule type="containsText" dxfId="1117" priority="1302" operator="containsText" text="Deleted">
      <formula>NOT(ISERROR(SEARCH("Deleted",I97)))</formula>
    </cfRule>
    <cfRule type="containsText" dxfId="1116" priority="1303" operator="containsText" text="In Danger of Falling Behind Target">
      <formula>NOT(ISERROR(SEARCH("In Danger of Falling Behind Target",I97)))</formula>
    </cfRule>
    <cfRule type="containsText" dxfId="1115" priority="1304" operator="containsText" text="Not yet due">
      <formula>NOT(ISERROR(SEARCH("Not yet due",I97)))</formula>
    </cfRule>
    <cfRule type="containsText" dxfId="1114" priority="1305" operator="containsText" text="Update not Provided">
      <formula>NOT(ISERROR(SEARCH("Update not Provided",I97)))</formula>
    </cfRule>
    <cfRule type="containsText" dxfId="1113" priority="1306" operator="containsText" text="Not yet due">
      <formula>NOT(ISERROR(SEARCH("Not yet due",I97)))</formula>
    </cfRule>
    <cfRule type="containsText" dxfId="1112" priority="1307" operator="containsText" text="Completed Behind Schedule">
      <formula>NOT(ISERROR(SEARCH("Completed Behind Schedule",I97)))</formula>
    </cfRule>
    <cfRule type="containsText" dxfId="1111" priority="1308" operator="containsText" text="Off Target">
      <formula>NOT(ISERROR(SEARCH("Off Target",I97)))</formula>
    </cfRule>
    <cfRule type="containsText" dxfId="1110" priority="1309" operator="containsText" text="On Track to be Achieved">
      <formula>NOT(ISERROR(SEARCH("On Track to be Achieved",I97)))</formula>
    </cfRule>
    <cfRule type="containsText" dxfId="1109" priority="1310" operator="containsText" text="Fully Achieved">
      <formula>NOT(ISERROR(SEARCH("Fully Achieved",I97)))</formula>
    </cfRule>
    <cfRule type="containsText" dxfId="1108" priority="1311" operator="containsText" text="Not yet due">
      <formula>NOT(ISERROR(SEARCH("Not yet due",I97)))</formula>
    </cfRule>
    <cfRule type="containsText" dxfId="1107" priority="1312" operator="containsText" text="Not Yet Due">
      <formula>NOT(ISERROR(SEARCH("Not Yet Due",I97)))</formula>
    </cfRule>
    <cfRule type="containsText" dxfId="1106" priority="1313" operator="containsText" text="Deferred">
      <formula>NOT(ISERROR(SEARCH("Deferred",I97)))</formula>
    </cfRule>
    <cfRule type="containsText" dxfId="1105" priority="1314" operator="containsText" text="Deleted">
      <formula>NOT(ISERROR(SEARCH("Deleted",I97)))</formula>
    </cfRule>
    <cfRule type="containsText" dxfId="1104" priority="1315" operator="containsText" text="In Danger of Falling Behind Target">
      <formula>NOT(ISERROR(SEARCH("In Danger of Falling Behind Target",I97)))</formula>
    </cfRule>
    <cfRule type="containsText" dxfId="1103" priority="1316" operator="containsText" text="Not yet due">
      <formula>NOT(ISERROR(SEARCH("Not yet due",I97)))</formula>
    </cfRule>
    <cfRule type="containsText" dxfId="1102" priority="1317" operator="containsText" text="Completed Behind Schedule">
      <formula>NOT(ISERROR(SEARCH("Completed Behind Schedule",I97)))</formula>
    </cfRule>
    <cfRule type="containsText" dxfId="1101" priority="1318" operator="containsText" text="Off Target">
      <formula>NOT(ISERROR(SEARCH("Off Target",I97)))</formula>
    </cfRule>
    <cfRule type="containsText" dxfId="1100" priority="1319" operator="containsText" text="In Danger of Falling Behind Target">
      <formula>NOT(ISERROR(SEARCH("In Danger of Falling Behind Target",I97)))</formula>
    </cfRule>
    <cfRule type="containsText" dxfId="1099" priority="1320" operator="containsText" text="On Track to be Achieved">
      <formula>NOT(ISERROR(SEARCH("On Track to be Achieved",I97)))</formula>
    </cfRule>
    <cfRule type="containsText" dxfId="1098" priority="1321" operator="containsText" text="Fully Achieved">
      <formula>NOT(ISERROR(SEARCH("Fully Achieved",I97)))</formula>
    </cfRule>
    <cfRule type="containsText" dxfId="1097" priority="1322" operator="containsText" text="Update not Provided">
      <formula>NOT(ISERROR(SEARCH("Update not Provided",I97)))</formula>
    </cfRule>
    <cfRule type="containsText" dxfId="1096" priority="1323" operator="containsText" text="Not yet due">
      <formula>NOT(ISERROR(SEARCH("Not yet due",I97)))</formula>
    </cfRule>
    <cfRule type="containsText" dxfId="1095" priority="1324" operator="containsText" text="Completed Behind Schedule">
      <formula>NOT(ISERROR(SEARCH("Completed Behind Schedule",I97)))</formula>
    </cfRule>
    <cfRule type="containsText" dxfId="1094" priority="1325" operator="containsText" text="Off Target">
      <formula>NOT(ISERROR(SEARCH("Off Target",I97)))</formula>
    </cfRule>
    <cfRule type="containsText" dxfId="1093" priority="1326" operator="containsText" text="In Danger of Falling Behind Target">
      <formula>NOT(ISERROR(SEARCH("In Danger of Falling Behind Target",I97)))</formula>
    </cfRule>
    <cfRule type="containsText" dxfId="1092" priority="1327" operator="containsText" text="On Track to be Achieved">
      <formula>NOT(ISERROR(SEARCH("On Track to be Achieved",I97)))</formula>
    </cfRule>
    <cfRule type="containsText" dxfId="1091" priority="1328" operator="containsText" text="Fully Achieved">
      <formula>NOT(ISERROR(SEARCH("Fully Achieved",I97)))</formula>
    </cfRule>
    <cfRule type="containsText" dxfId="1090" priority="1329" operator="containsText" text="Fully Achieved">
      <formula>NOT(ISERROR(SEARCH("Fully Achieved",I97)))</formula>
    </cfRule>
    <cfRule type="containsText" dxfId="1089" priority="1330" operator="containsText" text="Fully Achieved">
      <formula>NOT(ISERROR(SEARCH("Fully Achieved",I97)))</formula>
    </cfRule>
    <cfRule type="containsText" dxfId="1088" priority="1331" operator="containsText" text="Deferred">
      <formula>NOT(ISERROR(SEARCH("Deferred",I97)))</formula>
    </cfRule>
    <cfRule type="containsText" dxfId="1087" priority="1332" operator="containsText" text="Deleted">
      <formula>NOT(ISERROR(SEARCH("Deleted",I97)))</formula>
    </cfRule>
    <cfRule type="containsText" dxfId="1086" priority="1333" operator="containsText" text="In Danger of Falling Behind Target">
      <formula>NOT(ISERROR(SEARCH("In Danger of Falling Behind Target",I97)))</formula>
    </cfRule>
    <cfRule type="containsText" dxfId="1085" priority="1334" operator="containsText" text="Not yet due">
      <formula>NOT(ISERROR(SEARCH("Not yet due",I97)))</formula>
    </cfRule>
    <cfRule type="containsText" dxfId="1084" priority="1335" operator="containsText" text="Update not Provided">
      <formula>NOT(ISERROR(SEARCH("Update not Provided",I97)))</formula>
    </cfRule>
  </conditionalFormatting>
  <conditionalFormatting sqref="I99:I109">
    <cfRule type="containsText" dxfId="1083" priority="1264" operator="containsText" text="On track to be achieved">
      <formula>NOT(ISERROR(SEARCH("On track to be achieved",I99)))</formula>
    </cfRule>
    <cfRule type="containsText" dxfId="1082" priority="1265" operator="containsText" text="Deferred">
      <formula>NOT(ISERROR(SEARCH("Deferred",I99)))</formula>
    </cfRule>
    <cfRule type="containsText" dxfId="1081" priority="1266" operator="containsText" text="Deleted">
      <formula>NOT(ISERROR(SEARCH("Deleted",I99)))</formula>
    </cfRule>
    <cfRule type="containsText" dxfId="1080" priority="1267" operator="containsText" text="In Danger of Falling Behind Target">
      <formula>NOT(ISERROR(SEARCH("In Danger of Falling Behind Target",I99)))</formula>
    </cfRule>
    <cfRule type="containsText" dxfId="1079" priority="1268" operator="containsText" text="Not yet due">
      <formula>NOT(ISERROR(SEARCH("Not yet due",I99)))</formula>
    </cfRule>
    <cfRule type="containsText" dxfId="1078" priority="1269" operator="containsText" text="Update not Provided">
      <formula>NOT(ISERROR(SEARCH("Update not Provided",I99)))</formula>
    </cfRule>
    <cfRule type="containsText" dxfId="1077" priority="1270" operator="containsText" text="Not yet due">
      <formula>NOT(ISERROR(SEARCH("Not yet due",I99)))</formula>
    </cfRule>
    <cfRule type="containsText" dxfId="1076" priority="1271" operator="containsText" text="Completed Behind Schedule">
      <formula>NOT(ISERROR(SEARCH("Completed Behind Schedule",I99)))</formula>
    </cfRule>
    <cfRule type="containsText" dxfId="1075" priority="1272" operator="containsText" text="Off Target">
      <formula>NOT(ISERROR(SEARCH("Off Target",I99)))</formula>
    </cfRule>
    <cfRule type="containsText" dxfId="1074" priority="1273" operator="containsText" text="On Track to be Achieved">
      <formula>NOT(ISERROR(SEARCH("On Track to be Achieved",I99)))</formula>
    </cfRule>
    <cfRule type="containsText" dxfId="1073" priority="1274" operator="containsText" text="Fully Achieved">
      <formula>NOT(ISERROR(SEARCH("Fully Achieved",I99)))</formula>
    </cfRule>
    <cfRule type="containsText" dxfId="1072" priority="1275" operator="containsText" text="Not yet due">
      <formula>NOT(ISERROR(SEARCH("Not yet due",I99)))</formula>
    </cfRule>
    <cfRule type="containsText" dxfId="1071" priority="1276" operator="containsText" text="Not Yet Due">
      <formula>NOT(ISERROR(SEARCH("Not Yet Due",I99)))</formula>
    </cfRule>
    <cfRule type="containsText" dxfId="1070" priority="1277" operator="containsText" text="Deferred">
      <formula>NOT(ISERROR(SEARCH("Deferred",I99)))</formula>
    </cfRule>
    <cfRule type="containsText" dxfId="1069" priority="1278" operator="containsText" text="Deleted">
      <formula>NOT(ISERROR(SEARCH("Deleted",I99)))</formula>
    </cfRule>
    <cfRule type="containsText" dxfId="1068" priority="1279" operator="containsText" text="In Danger of Falling Behind Target">
      <formula>NOT(ISERROR(SEARCH("In Danger of Falling Behind Target",I99)))</formula>
    </cfRule>
    <cfRule type="containsText" dxfId="1067" priority="1280" operator="containsText" text="Not yet due">
      <formula>NOT(ISERROR(SEARCH("Not yet due",I99)))</formula>
    </cfRule>
    <cfRule type="containsText" dxfId="1066" priority="1281" operator="containsText" text="Completed Behind Schedule">
      <formula>NOT(ISERROR(SEARCH("Completed Behind Schedule",I99)))</formula>
    </cfRule>
    <cfRule type="containsText" dxfId="1065" priority="1282" operator="containsText" text="Off Target">
      <formula>NOT(ISERROR(SEARCH("Off Target",I99)))</formula>
    </cfRule>
    <cfRule type="containsText" dxfId="1064" priority="1283" operator="containsText" text="In Danger of Falling Behind Target">
      <formula>NOT(ISERROR(SEARCH("In Danger of Falling Behind Target",I99)))</formula>
    </cfRule>
    <cfRule type="containsText" dxfId="1063" priority="1284" operator="containsText" text="On Track to be Achieved">
      <formula>NOT(ISERROR(SEARCH("On Track to be Achieved",I99)))</formula>
    </cfRule>
    <cfRule type="containsText" dxfId="1062" priority="1285" operator="containsText" text="Fully Achieved">
      <formula>NOT(ISERROR(SEARCH("Fully Achieved",I99)))</formula>
    </cfRule>
    <cfRule type="containsText" dxfId="1061" priority="1286" operator="containsText" text="Update not Provided">
      <formula>NOT(ISERROR(SEARCH("Update not Provided",I99)))</formula>
    </cfRule>
    <cfRule type="containsText" dxfId="1060" priority="1287" operator="containsText" text="Not yet due">
      <formula>NOT(ISERROR(SEARCH("Not yet due",I99)))</formula>
    </cfRule>
    <cfRule type="containsText" dxfId="1059" priority="1288" operator="containsText" text="Completed Behind Schedule">
      <formula>NOT(ISERROR(SEARCH("Completed Behind Schedule",I99)))</formula>
    </cfRule>
    <cfRule type="containsText" dxfId="1058" priority="1289" operator="containsText" text="Off Target">
      <formula>NOT(ISERROR(SEARCH("Off Target",I99)))</formula>
    </cfRule>
    <cfRule type="containsText" dxfId="1057" priority="1290" operator="containsText" text="In Danger of Falling Behind Target">
      <formula>NOT(ISERROR(SEARCH("In Danger of Falling Behind Target",I99)))</formula>
    </cfRule>
    <cfRule type="containsText" dxfId="1056" priority="1291" operator="containsText" text="On Track to be Achieved">
      <formula>NOT(ISERROR(SEARCH("On Track to be Achieved",I99)))</formula>
    </cfRule>
    <cfRule type="containsText" dxfId="1055" priority="1292" operator="containsText" text="Fully Achieved">
      <formula>NOT(ISERROR(SEARCH("Fully Achieved",I99)))</formula>
    </cfRule>
    <cfRule type="containsText" dxfId="1054" priority="1293" operator="containsText" text="Fully Achieved">
      <formula>NOT(ISERROR(SEARCH("Fully Achieved",I99)))</formula>
    </cfRule>
    <cfRule type="containsText" dxfId="1053" priority="1294" operator="containsText" text="Fully Achieved">
      <formula>NOT(ISERROR(SEARCH("Fully Achieved",I99)))</formula>
    </cfRule>
    <cfRule type="containsText" dxfId="1052" priority="1295" operator="containsText" text="Deferred">
      <formula>NOT(ISERROR(SEARCH("Deferred",I99)))</formula>
    </cfRule>
    <cfRule type="containsText" dxfId="1051" priority="1296" operator="containsText" text="Deleted">
      <formula>NOT(ISERROR(SEARCH("Deleted",I99)))</formula>
    </cfRule>
    <cfRule type="containsText" dxfId="1050" priority="1297" operator="containsText" text="In Danger of Falling Behind Target">
      <formula>NOT(ISERROR(SEARCH("In Danger of Falling Behind Target",I99)))</formula>
    </cfRule>
    <cfRule type="containsText" dxfId="1049" priority="1298" operator="containsText" text="Not yet due">
      <formula>NOT(ISERROR(SEARCH("Not yet due",I99)))</formula>
    </cfRule>
    <cfRule type="containsText" dxfId="1048" priority="1299" operator="containsText" text="Update not Provided">
      <formula>NOT(ISERROR(SEARCH("Update not Provided",I99)))</formula>
    </cfRule>
  </conditionalFormatting>
  <conditionalFormatting sqref="J3:J110">
    <cfRule type="containsText" dxfId="1047" priority="1189" operator="containsText" text="reasonable tolerance">
      <formula>NOT(ISERROR(SEARCH("reasonable tolerance",J3)))</formula>
    </cfRule>
    <cfRule type="containsText" dxfId="1046" priority="1190" operator="containsText" text="significantly after">
      <formula>NOT(ISERROR(SEARCH("significantly after",J3)))</formula>
    </cfRule>
    <cfRule type="containsText" dxfId="1045" priority="1191" operator="containsText" text="10% tolerance">
      <formula>NOT(ISERROR(SEARCH("10% tolerance",J3)))</formula>
    </cfRule>
  </conditionalFormatting>
  <conditionalFormatting sqref="E4:E6">
    <cfRule type="containsText" dxfId="1044" priority="1153" operator="containsText" text="On track to be achieved">
      <formula>NOT(ISERROR(SEARCH("On track to be achieved",E4)))</formula>
    </cfRule>
    <cfRule type="containsText" dxfId="1043" priority="1154" operator="containsText" text="Deferred">
      <formula>NOT(ISERROR(SEARCH("Deferred",E4)))</formula>
    </cfRule>
    <cfRule type="containsText" dxfId="1042" priority="1155" operator="containsText" text="Deleted">
      <formula>NOT(ISERROR(SEARCH("Deleted",E4)))</formula>
    </cfRule>
    <cfRule type="containsText" dxfId="1041" priority="1156" operator="containsText" text="In Danger of Falling Behind Target">
      <formula>NOT(ISERROR(SEARCH("In Danger of Falling Behind Target",E4)))</formula>
    </cfRule>
    <cfRule type="containsText" dxfId="1040" priority="1157" operator="containsText" text="Not yet due">
      <formula>NOT(ISERROR(SEARCH("Not yet due",E4)))</formula>
    </cfRule>
    <cfRule type="containsText" dxfId="1039" priority="1158" operator="containsText" text="Update not Provided">
      <formula>NOT(ISERROR(SEARCH("Update not Provided",E4)))</formula>
    </cfRule>
    <cfRule type="containsText" dxfId="1038" priority="1159" operator="containsText" text="Not yet due">
      <formula>NOT(ISERROR(SEARCH("Not yet due",E4)))</formula>
    </cfRule>
    <cfRule type="containsText" dxfId="1037" priority="1160" operator="containsText" text="Completed Behind Schedule">
      <formula>NOT(ISERROR(SEARCH("Completed Behind Schedule",E4)))</formula>
    </cfRule>
    <cfRule type="containsText" dxfId="1036" priority="1161" operator="containsText" text="Off Target">
      <formula>NOT(ISERROR(SEARCH("Off Target",E4)))</formula>
    </cfRule>
    <cfRule type="containsText" dxfId="1035" priority="1162" operator="containsText" text="On Track to be Achieved">
      <formula>NOT(ISERROR(SEARCH("On Track to be Achieved",E4)))</formula>
    </cfRule>
    <cfRule type="containsText" dxfId="1034" priority="1163" operator="containsText" text="Fully Achieved">
      <formula>NOT(ISERROR(SEARCH("Fully Achieved",E4)))</formula>
    </cfRule>
    <cfRule type="containsText" dxfId="1033" priority="1164" operator="containsText" text="Not yet due">
      <formula>NOT(ISERROR(SEARCH("Not yet due",E4)))</formula>
    </cfRule>
    <cfRule type="containsText" dxfId="1032" priority="1165" operator="containsText" text="Not Yet Due">
      <formula>NOT(ISERROR(SEARCH("Not Yet Due",E4)))</formula>
    </cfRule>
    <cfRule type="containsText" dxfId="1031" priority="1166" operator="containsText" text="Deferred">
      <formula>NOT(ISERROR(SEARCH("Deferred",E4)))</formula>
    </cfRule>
    <cfRule type="containsText" dxfId="1030" priority="1167" operator="containsText" text="Deleted">
      <formula>NOT(ISERROR(SEARCH("Deleted",E4)))</formula>
    </cfRule>
    <cfRule type="containsText" dxfId="1029" priority="1168" operator="containsText" text="In Danger of Falling Behind Target">
      <formula>NOT(ISERROR(SEARCH("In Danger of Falling Behind Target",E4)))</formula>
    </cfRule>
    <cfRule type="containsText" dxfId="1028" priority="1169" operator="containsText" text="Not yet due">
      <formula>NOT(ISERROR(SEARCH("Not yet due",E4)))</formula>
    </cfRule>
    <cfRule type="containsText" dxfId="1027" priority="1170" operator="containsText" text="Completed Behind Schedule">
      <formula>NOT(ISERROR(SEARCH("Completed Behind Schedule",E4)))</formula>
    </cfRule>
    <cfRule type="containsText" dxfId="1026" priority="1171" operator="containsText" text="Off Target">
      <formula>NOT(ISERROR(SEARCH("Off Target",E4)))</formula>
    </cfRule>
    <cfRule type="containsText" dxfId="1025" priority="1172" operator="containsText" text="In Danger of Falling Behind Target">
      <formula>NOT(ISERROR(SEARCH("In Danger of Falling Behind Target",E4)))</formula>
    </cfRule>
    <cfRule type="containsText" dxfId="1024" priority="1173" operator="containsText" text="On Track to be Achieved">
      <formula>NOT(ISERROR(SEARCH("On Track to be Achieved",E4)))</formula>
    </cfRule>
    <cfRule type="containsText" dxfId="1023" priority="1174" operator="containsText" text="Fully Achieved">
      <formula>NOT(ISERROR(SEARCH("Fully Achieved",E4)))</formula>
    </cfRule>
    <cfRule type="containsText" dxfId="1022" priority="1175" operator="containsText" text="Update not Provided">
      <formula>NOT(ISERROR(SEARCH("Update not Provided",E4)))</formula>
    </cfRule>
    <cfRule type="containsText" dxfId="1021" priority="1176" operator="containsText" text="Not yet due">
      <formula>NOT(ISERROR(SEARCH("Not yet due",E4)))</formula>
    </cfRule>
    <cfRule type="containsText" dxfId="1020" priority="1177" operator="containsText" text="Completed Behind Schedule">
      <formula>NOT(ISERROR(SEARCH("Completed Behind Schedule",E4)))</formula>
    </cfRule>
    <cfRule type="containsText" dxfId="1019" priority="1178" operator="containsText" text="Off Target">
      <formula>NOT(ISERROR(SEARCH("Off Target",E4)))</formula>
    </cfRule>
    <cfRule type="containsText" dxfId="1018" priority="1179" operator="containsText" text="In Danger of Falling Behind Target">
      <formula>NOT(ISERROR(SEARCH("In Danger of Falling Behind Target",E4)))</formula>
    </cfRule>
    <cfRule type="containsText" dxfId="1017" priority="1180" operator="containsText" text="On Track to be Achieved">
      <formula>NOT(ISERROR(SEARCH("On Track to be Achieved",E4)))</formula>
    </cfRule>
    <cfRule type="containsText" dxfId="1016" priority="1181" operator="containsText" text="Fully Achieved">
      <formula>NOT(ISERROR(SEARCH("Fully Achieved",E4)))</formula>
    </cfRule>
    <cfRule type="containsText" dxfId="1015" priority="1182" operator="containsText" text="Fully Achieved">
      <formula>NOT(ISERROR(SEARCH("Fully Achieved",E4)))</formula>
    </cfRule>
    <cfRule type="containsText" dxfId="1014" priority="1183" operator="containsText" text="Fully Achieved">
      <formula>NOT(ISERROR(SEARCH("Fully Achieved",E4)))</formula>
    </cfRule>
    <cfRule type="containsText" dxfId="1013" priority="1184" operator="containsText" text="Deferred">
      <formula>NOT(ISERROR(SEARCH("Deferred",E4)))</formula>
    </cfRule>
    <cfRule type="containsText" dxfId="1012" priority="1185" operator="containsText" text="Deleted">
      <formula>NOT(ISERROR(SEARCH("Deleted",E4)))</formula>
    </cfRule>
    <cfRule type="containsText" dxfId="1011" priority="1186" operator="containsText" text="In Danger of Falling Behind Target">
      <formula>NOT(ISERROR(SEARCH("In Danger of Falling Behind Target",E4)))</formula>
    </cfRule>
    <cfRule type="containsText" dxfId="1010" priority="1187" operator="containsText" text="Not yet due">
      <formula>NOT(ISERROR(SEARCH("Not yet due",E4)))</formula>
    </cfRule>
    <cfRule type="containsText" dxfId="1009" priority="1188" operator="containsText" text="Update not Provided">
      <formula>NOT(ISERROR(SEARCH("Update not Provided",E4)))</formula>
    </cfRule>
  </conditionalFormatting>
  <conditionalFormatting sqref="E8">
    <cfRule type="containsText" dxfId="1008" priority="1117" operator="containsText" text="On track to be achieved">
      <formula>NOT(ISERROR(SEARCH("On track to be achieved",E8)))</formula>
    </cfRule>
    <cfRule type="containsText" dxfId="1007" priority="1118" operator="containsText" text="Deferred">
      <formula>NOT(ISERROR(SEARCH("Deferred",E8)))</formula>
    </cfRule>
    <cfRule type="containsText" dxfId="1006" priority="1119" operator="containsText" text="Deleted">
      <formula>NOT(ISERROR(SEARCH("Deleted",E8)))</formula>
    </cfRule>
    <cfRule type="containsText" dxfId="1005" priority="1120" operator="containsText" text="In Danger of Falling Behind Target">
      <formula>NOT(ISERROR(SEARCH("In Danger of Falling Behind Target",E8)))</formula>
    </cfRule>
    <cfRule type="containsText" dxfId="1004" priority="1121" operator="containsText" text="Not yet due">
      <formula>NOT(ISERROR(SEARCH("Not yet due",E8)))</formula>
    </cfRule>
    <cfRule type="containsText" dxfId="1003" priority="1122" operator="containsText" text="Update not Provided">
      <formula>NOT(ISERROR(SEARCH("Update not Provided",E8)))</formula>
    </cfRule>
    <cfRule type="containsText" dxfId="1002" priority="1123" operator="containsText" text="Not yet due">
      <formula>NOT(ISERROR(SEARCH("Not yet due",E8)))</formula>
    </cfRule>
    <cfRule type="containsText" dxfId="1001" priority="1124" operator="containsText" text="Completed Behind Schedule">
      <formula>NOT(ISERROR(SEARCH("Completed Behind Schedule",E8)))</formula>
    </cfRule>
    <cfRule type="containsText" dxfId="1000" priority="1125" operator="containsText" text="Off Target">
      <formula>NOT(ISERROR(SEARCH("Off Target",E8)))</formula>
    </cfRule>
    <cfRule type="containsText" dxfId="999" priority="1126" operator="containsText" text="On Track to be Achieved">
      <formula>NOT(ISERROR(SEARCH("On Track to be Achieved",E8)))</formula>
    </cfRule>
    <cfRule type="containsText" dxfId="998" priority="1127" operator="containsText" text="Fully Achieved">
      <formula>NOT(ISERROR(SEARCH("Fully Achieved",E8)))</formula>
    </cfRule>
    <cfRule type="containsText" dxfId="997" priority="1128" operator="containsText" text="Not yet due">
      <formula>NOT(ISERROR(SEARCH("Not yet due",E8)))</formula>
    </cfRule>
    <cfRule type="containsText" dxfId="996" priority="1129" operator="containsText" text="Not Yet Due">
      <formula>NOT(ISERROR(SEARCH("Not Yet Due",E8)))</formula>
    </cfRule>
    <cfRule type="containsText" dxfId="995" priority="1130" operator="containsText" text="Deferred">
      <formula>NOT(ISERROR(SEARCH("Deferred",E8)))</formula>
    </cfRule>
    <cfRule type="containsText" dxfId="994" priority="1131" operator="containsText" text="Deleted">
      <formula>NOT(ISERROR(SEARCH("Deleted",E8)))</formula>
    </cfRule>
    <cfRule type="containsText" dxfId="993" priority="1132" operator="containsText" text="In Danger of Falling Behind Target">
      <formula>NOT(ISERROR(SEARCH("In Danger of Falling Behind Target",E8)))</formula>
    </cfRule>
    <cfRule type="containsText" dxfId="992" priority="1133" operator="containsText" text="Not yet due">
      <formula>NOT(ISERROR(SEARCH("Not yet due",E8)))</formula>
    </cfRule>
    <cfRule type="containsText" dxfId="991" priority="1134" operator="containsText" text="Completed Behind Schedule">
      <formula>NOT(ISERROR(SEARCH("Completed Behind Schedule",E8)))</formula>
    </cfRule>
    <cfRule type="containsText" dxfId="990" priority="1135" operator="containsText" text="Off Target">
      <formula>NOT(ISERROR(SEARCH("Off Target",E8)))</formula>
    </cfRule>
    <cfRule type="containsText" dxfId="989" priority="1136" operator="containsText" text="In Danger of Falling Behind Target">
      <formula>NOT(ISERROR(SEARCH("In Danger of Falling Behind Target",E8)))</formula>
    </cfRule>
    <cfRule type="containsText" dxfId="988" priority="1137" operator="containsText" text="On Track to be Achieved">
      <formula>NOT(ISERROR(SEARCH("On Track to be Achieved",E8)))</formula>
    </cfRule>
    <cfRule type="containsText" dxfId="987" priority="1138" operator="containsText" text="Fully Achieved">
      <formula>NOT(ISERROR(SEARCH("Fully Achieved",E8)))</formula>
    </cfRule>
    <cfRule type="containsText" dxfId="986" priority="1139" operator="containsText" text="Update not Provided">
      <formula>NOT(ISERROR(SEARCH("Update not Provided",E8)))</formula>
    </cfRule>
    <cfRule type="containsText" dxfId="985" priority="1140" operator="containsText" text="Not yet due">
      <formula>NOT(ISERROR(SEARCH("Not yet due",E8)))</formula>
    </cfRule>
    <cfRule type="containsText" dxfId="984" priority="1141" operator="containsText" text="Completed Behind Schedule">
      <formula>NOT(ISERROR(SEARCH("Completed Behind Schedule",E8)))</formula>
    </cfRule>
    <cfRule type="containsText" dxfId="983" priority="1142" operator="containsText" text="Off Target">
      <formula>NOT(ISERROR(SEARCH("Off Target",E8)))</formula>
    </cfRule>
    <cfRule type="containsText" dxfId="982" priority="1143" operator="containsText" text="In Danger of Falling Behind Target">
      <formula>NOT(ISERROR(SEARCH("In Danger of Falling Behind Target",E8)))</formula>
    </cfRule>
    <cfRule type="containsText" dxfId="981" priority="1144" operator="containsText" text="On Track to be Achieved">
      <formula>NOT(ISERROR(SEARCH("On Track to be Achieved",E8)))</formula>
    </cfRule>
    <cfRule type="containsText" dxfId="980" priority="1145" operator="containsText" text="Fully Achieved">
      <formula>NOT(ISERROR(SEARCH("Fully Achieved",E8)))</formula>
    </cfRule>
    <cfRule type="containsText" dxfId="979" priority="1146" operator="containsText" text="Fully Achieved">
      <formula>NOT(ISERROR(SEARCH("Fully Achieved",E8)))</formula>
    </cfRule>
    <cfRule type="containsText" dxfId="978" priority="1147" operator="containsText" text="Fully Achieved">
      <formula>NOT(ISERROR(SEARCH("Fully Achieved",E8)))</formula>
    </cfRule>
    <cfRule type="containsText" dxfId="977" priority="1148" operator="containsText" text="Deferred">
      <formula>NOT(ISERROR(SEARCH("Deferred",E8)))</formula>
    </cfRule>
    <cfRule type="containsText" dxfId="976" priority="1149" operator="containsText" text="Deleted">
      <formula>NOT(ISERROR(SEARCH("Deleted",E8)))</formula>
    </cfRule>
    <cfRule type="containsText" dxfId="975" priority="1150" operator="containsText" text="In Danger of Falling Behind Target">
      <formula>NOT(ISERROR(SEARCH("In Danger of Falling Behind Target",E8)))</formula>
    </cfRule>
    <cfRule type="containsText" dxfId="974" priority="1151" operator="containsText" text="Not yet due">
      <formula>NOT(ISERROR(SEARCH("Not yet due",E8)))</formula>
    </cfRule>
    <cfRule type="containsText" dxfId="973" priority="1152" operator="containsText" text="Update not Provided">
      <formula>NOT(ISERROR(SEARCH("Update not Provided",E8)))</formula>
    </cfRule>
  </conditionalFormatting>
  <conditionalFormatting sqref="E12:E18">
    <cfRule type="containsText" dxfId="972" priority="1081" operator="containsText" text="On track to be achieved">
      <formula>NOT(ISERROR(SEARCH("On track to be achieved",E12)))</formula>
    </cfRule>
    <cfRule type="containsText" dxfId="971" priority="1082" operator="containsText" text="Deferred">
      <formula>NOT(ISERROR(SEARCH("Deferred",E12)))</formula>
    </cfRule>
    <cfRule type="containsText" dxfId="970" priority="1083" operator="containsText" text="Deleted">
      <formula>NOT(ISERROR(SEARCH("Deleted",E12)))</formula>
    </cfRule>
    <cfRule type="containsText" dxfId="969" priority="1084" operator="containsText" text="In Danger of Falling Behind Target">
      <formula>NOT(ISERROR(SEARCH("In Danger of Falling Behind Target",E12)))</formula>
    </cfRule>
    <cfRule type="containsText" dxfId="968" priority="1085" operator="containsText" text="Not yet due">
      <formula>NOT(ISERROR(SEARCH("Not yet due",E12)))</formula>
    </cfRule>
    <cfRule type="containsText" dxfId="967" priority="1086" operator="containsText" text="Update not Provided">
      <formula>NOT(ISERROR(SEARCH("Update not Provided",E12)))</formula>
    </cfRule>
    <cfRule type="containsText" dxfId="966" priority="1087" operator="containsText" text="Not yet due">
      <formula>NOT(ISERROR(SEARCH("Not yet due",E12)))</formula>
    </cfRule>
    <cfRule type="containsText" dxfId="965" priority="1088" operator="containsText" text="Completed Behind Schedule">
      <formula>NOT(ISERROR(SEARCH("Completed Behind Schedule",E12)))</formula>
    </cfRule>
    <cfRule type="containsText" dxfId="964" priority="1089" operator="containsText" text="Off Target">
      <formula>NOT(ISERROR(SEARCH("Off Target",E12)))</formula>
    </cfRule>
    <cfRule type="containsText" dxfId="963" priority="1090" operator="containsText" text="On Track to be Achieved">
      <formula>NOT(ISERROR(SEARCH("On Track to be Achieved",E12)))</formula>
    </cfRule>
    <cfRule type="containsText" dxfId="962" priority="1091" operator="containsText" text="Fully Achieved">
      <formula>NOT(ISERROR(SEARCH("Fully Achieved",E12)))</formula>
    </cfRule>
    <cfRule type="containsText" dxfId="961" priority="1092" operator="containsText" text="Not yet due">
      <formula>NOT(ISERROR(SEARCH("Not yet due",E12)))</formula>
    </cfRule>
    <cfRule type="containsText" dxfId="960" priority="1093" operator="containsText" text="Not Yet Due">
      <formula>NOT(ISERROR(SEARCH("Not Yet Due",E12)))</formula>
    </cfRule>
    <cfRule type="containsText" dxfId="959" priority="1094" operator="containsText" text="Deferred">
      <formula>NOT(ISERROR(SEARCH("Deferred",E12)))</formula>
    </cfRule>
    <cfRule type="containsText" dxfId="958" priority="1095" operator="containsText" text="Deleted">
      <formula>NOT(ISERROR(SEARCH("Deleted",E12)))</formula>
    </cfRule>
    <cfRule type="containsText" dxfId="957" priority="1096" operator="containsText" text="In Danger of Falling Behind Target">
      <formula>NOT(ISERROR(SEARCH("In Danger of Falling Behind Target",E12)))</formula>
    </cfRule>
    <cfRule type="containsText" dxfId="956" priority="1097" operator="containsText" text="Not yet due">
      <formula>NOT(ISERROR(SEARCH("Not yet due",E12)))</formula>
    </cfRule>
    <cfRule type="containsText" dxfId="955" priority="1098" operator="containsText" text="Completed Behind Schedule">
      <formula>NOT(ISERROR(SEARCH("Completed Behind Schedule",E12)))</formula>
    </cfRule>
    <cfRule type="containsText" dxfId="954" priority="1099" operator="containsText" text="Off Target">
      <formula>NOT(ISERROR(SEARCH("Off Target",E12)))</formula>
    </cfRule>
    <cfRule type="containsText" dxfId="953" priority="1100" operator="containsText" text="In Danger of Falling Behind Target">
      <formula>NOT(ISERROR(SEARCH("In Danger of Falling Behind Target",E12)))</formula>
    </cfRule>
    <cfRule type="containsText" dxfId="952" priority="1101" operator="containsText" text="On Track to be Achieved">
      <formula>NOT(ISERROR(SEARCH("On Track to be Achieved",E12)))</formula>
    </cfRule>
    <cfRule type="containsText" dxfId="951" priority="1102" operator="containsText" text="Fully Achieved">
      <formula>NOT(ISERROR(SEARCH("Fully Achieved",E12)))</formula>
    </cfRule>
    <cfRule type="containsText" dxfId="950" priority="1103" operator="containsText" text="Update not Provided">
      <formula>NOT(ISERROR(SEARCH("Update not Provided",E12)))</formula>
    </cfRule>
    <cfRule type="containsText" dxfId="949" priority="1104" operator="containsText" text="Not yet due">
      <formula>NOT(ISERROR(SEARCH("Not yet due",E12)))</formula>
    </cfRule>
    <cfRule type="containsText" dxfId="948" priority="1105" operator="containsText" text="Completed Behind Schedule">
      <formula>NOT(ISERROR(SEARCH("Completed Behind Schedule",E12)))</formula>
    </cfRule>
    <cfRule type="containsText" dxfId="947" priority="1106" operator="containsText" text="Off Target">
      <formula>NOT(ISERROR(SEARCH("Off Target",E12)))</formula>
    </cfRule>
    <cfRule type="containsText" dxfId="946" priority="1107" operator="containsText" text="In Danger of Falling Behind Target">
      <formula>NOT(ISERROR(SEARCH("In Danger of Falling Behind Target",E12)))</formula>
    </cfRule>
    <cfRule type="containsText" dxfId="945" priority="1108" operator="containsText" text="On Track to be Achieved">
      <formula>NOT(ISERROR(SEARCH("On Track to be Achieved",E12)))</formula>
    </cfRule>
    <cfRule type="containsText" dxfId="944" priority="1109" operator="containsText" text="Fully Achieved">
      <formula>NOT(ISERROR(SEARCH("Fully Achieved",E12)))</formula>
    </cfRule>
    <cfRule type="containsText" dxfId="943" priority="1110" operator="containsText" text="Fully Achieved">
      <formula>NOT(ISERROR(SEARCH("Fully Achieved",E12)))</formula>
    </cfRule>
    <cfRule type="containsText" dxfId="942" priority="1111" operator="containsText" text="Fully Achieved">
      <formula>NOT(ISERROR(SEARCH("Fully Achieved",E12)))</formula>
    </cfRule>
    <cfRule type="containsText" dxfId="941" priority="1112" operator="containsText" text="Deferred">
      <formula>NOT(ISERROR(SEARCH("Deferred",E12)))</formula>
    </cfRule>
    <cfRule type="containsText" dxfId="940" priority="1113" operator="containsText" text="Deleted">
      <formula>NOT(ISERROR(SEARCH("Deleted",E12)))</formula>
    </cfRule>
    <cfRule type="containsText" dxfId="939" priority="1114" operator="containsText" text="In Danger of Falling Behind Target">
      <formula>NOT(ISERROR(SEARCH("In Danger of Falling Behind Target",E12)))</formula>
    </cfRule>
    <cfRule type="containsText" dxfId="938" priority="1115" operator="containsText" text="Not yet due">
      <formula>NOT(ISERROR(SEARCH("Not yet due",E12)))</formula>
    </cfRule>
    <cfRule type="containsText" dxfId="937" priority="1116" operator="containsText" text="Update not Provided">
      <formula>NOT(ISERROR(SEARCH("Update not Provided",E12)))</formula>
    </cfRule>
  </conditionalFormatting>
  <conditionalFormatting sqref="E21:E27">
    <cfRule type="containsText" dxfId="936" priority="1045" operator="containsText" text="On track to be achieved">
      <formula>NOT(ISERROR(SEARCH("On track to be achieved",E21)))</formula>
    </cfRule>
    <cfRule type="containsText" dxfId="935" priority="1046" operator="containsText" text="Deferred">
      <formula>NOT(ISERROR(SEARCH("Deferred",E21)))</formula>
    </cfRule>
    <cfRule type="containsText" dxfId="934" priority="1047" operator="containsText" text="Deleted">
      <formula>NOT(ISERROR(SEARCH("Deleted",E21)))</formula>
    </cfRule>
    <cfRule type="containsText" dxfId="933" priority="1048" operator="containsText" text="In Danger of Falling Behind Target">
      <formula>NOT(ISERROR(SEARCH("In Danger of Falling Behind Target",E21)))</formula>
    </cfRule>
    <cfRule type="containsText" dxfId="932" priority="1049" operator="containsText" text="Not yet due">
      <formula>NOT(ISERROR(SEARCH("Not yet due",E21)))</formula>
    </cfRule>
    <cfRule type="containsText" dxfId="931" priority="1050" operator="containsText" text="Update not Provided">
      <formula>NOT(ISERROR(SEARCH("Update not Provided",E21)))</formula>
    </cfRule>
    <cfRule type="containsText" dxfId="930" priority="1051" operator="containsText" text="Not yet due">
      <formula>NOT(ISERROR(SEARCH("Not yet due",E21)))</formula>
    </cfRule>
    <cfRule type="containsText" dxfId="929" priority="1052" operator="containsText" text="Completed Behind Schedule">
      <formula>NOT(ISERROR(SEARCH("Completed Behind Schedule",E21)))</formula>
    </cfRule>
    <cfRule type="containsText" dxfId="928" priority="1053" operator="containsText" text="Off Target">
      <formula>NOT(ISERROR(SEARCH("Off Target",E21)))</formula>
    </cfRule>
    <cfRule type="containsText" dxfId="927" priority="1054" operator="containsText" text="On Track to be Achieved">
      <formula>NOT(ISERROR(SEARCH("On Track to be Achieved",E21)))</formula>
    </cfRule>
    <cfRule type="containsText" dxfId="926" priority="1055" operator="containsText" text="Fully Achieved">
      <formula>NOT(ISERROR(SEARCH("Fully Achieved",E21)))</formula>
    </cfRule>
    <cfRule type="containsText" dxfId="925" priority="1056" operator="containsText" text="Not yet due">
      <formula>NOT(ISERROR(SEARCH("Not yet due",E21)))</formula>
    </cfRule>
    <cfRule type="containsText" dxfId="924" priority="1057" operator="containsText" text="Not Yet Due">
      <formula>NOT(ISERROR(SEARCH("Not Yet Due",E21)))</formula>
    </cfRule>
    <cfRule type="containsText" dxfId="923" priority="1058" operator="containsText" text="Deferred">
      <formula>NOT(ISERROR(SEARCH("Deferred",E21)))</formula>
    </cfRule>
    <cfRule type="containsText" dxfId="922" priority="1059" operator="containsText" text="Deleted">
      <formula>NOT(ISERROR(SEARCH("Deleted",E21)))</formula>
    </cfRule>
    <cfRule type="containsText" dxfId="921" priority="1060" operator="containsText" text="In Danger of Falling Behind Target">
      <formula>NOT(ISERROR(SEARCH("In Danger of Falling Behind Target",E21)))</formula>
    </cfRule>
    <cfRule type="containsText" dxfId="920" priority="1061" operator="containsText" text="Not yet due">
      <formula>NOT(ISERROR(SEARCH("Not yet due",E21)))</formula>
    </cfRule>
    <cfRule type="containsText" dxfId="919" priority="1062" operator="containsText" text="Completed Behind Schedule">
      <formula>NOT(ISERROR(SEARCH("Completed Behind Schedule",E21)))</formula>
    </cfRule>
    <cfRule type="containsText" dxfId="918" priority="1063" operator="containsText" text="Off Target">
      <formula>NOT(ISERROR(SEARCH("Off Target",E21)))</formula>
    </cfRule>
    <cfRule type="containsText" dxfId="917" priority="1064" operator="containsText" text="In Danger of Falling Behind Target">
      <formula>NOT(ISERROR(SEARCH("In Danger of Falling Behind Target",E21)))</formula>
    </cfRule>
    <cfRule type="containsText" dxfId="916" priority="1065" operator="containsText" text="On Track to be Achieved">
      <formula>NOT(ISERROR(SEARCH("On Track to be Achieved",E21)))</formula>
    </cfRule>
    <cfRule type="containsText" dxfId="915" priority="1066" operator="containsText" text="Fully Achieved">
      <formula>NOT(ISERROR(SEARCH("Fully Achieved",E21)))</formula>
    </cfRule>
    <cfRule type="containsText" dxfId="914" priority="1067" operator="containsText" text="Update not Provided">
      <formula>NOT(ISERROR(SEARCH("Update not Provided",E21)))</formula>
    </cfRule>
    <cfRule type="containsText" dxfId="913" priority="1068" operator="containsText" text="Not yet due">
      <formula>NOT(ISERROR(SEARCH("Not yet due",E21)))</formula>
    </cfRule>
    <cfRule type="containsText" dxfId="912" priority="1069" operator="containsText" text="Completed Behind Schedule">
      <formula>NOT(ISERROR(SEARCH("Completed Behind Schedule",E21)))</formula>
    </cfRule>
    <cfRule type="containsText" dxfId="911" priority="1070" operator="containsText" text="Off Target">
      <formula>NOT(ISERROR(SEARCH("Off Target",E21)))</formula>
    </cfRule>
    <cfRule type="containsText" dxfId="910" priority="1071" operator="containsText" text="In Danger of Falling Behind Target">
      <formula>NOT(ISERROR(SEARCH("In Danger of Falling Behind Target",E21)))</formula>
    </cfRule>
    <cfRule type="containsText" dxfId="909" priority="1072" operator="containsText" text="On Track to be Achieved">
      <formula>NOT(ISERROR(SEARCH("On Track to be Achieved",E21)))</formula>
    </cfRule>
    <cfRule type="containsText" dxfId="908" priority="1073" operator="containsText" text="Fully Achieved">
      <formula>NOT(ISERROR(SEARCH("Fully Achieved",E21)))</formula>
    </cfRule>
    <cfRule type="containsText" dxfId="907" priority="1074" operator="containsText" text="Fully Achieved">
      <formula>NOT(ISERROR(SEARCH("Fully Achieved",E21)))</formula>
    </cfRule>
    <cfRule type="containsText" dxfId="906" priority="1075" operator="containsText" text="Fully Achieved">
      <formula>NOT(ISERROR(SEARCH("Fully Achieved",E21)))</formula>
    </cfRule>
    <cfRule type="containsText" dxfId="905" priority="1076" operator="containsText" text="Deferred">
      <formula>NOT(ISERROR(SEARCH("Deferred",E21)))</formula>
    </cfRule>
    <cfRule type="containsText" dxfId="904" priority="1077" operator="containsText" text="Deleted">
      <formula>NOT(ISERROR(SEARCH("Deleted",E21)))</formula>
    </cfRule>
    <cfRule type="containsText" dxfId="903" priority="1078" operator="containsText" text="In Danger of Falling Behind Target">
      <formula>NOT(ISERROR(SEARCH("In Danger of Falling Behind Target",E21)))</formula>
    </cfRule>
    <cfRule type="containsText" dxfId="902" priority="1079" operator="containsText" text="Not yet due">
      <formula>NOT(ISERROR(SEARCH("Not yet due",E21)))</formula>
    </cfRule>
    <cfRule type="containsText" dxfId="901" priority="1080" operator="containsText" text="Update not Provided">
      <formula>NOT(ISERROR(SEARCH("Update not Provided",E21)))</formula>
    </cfRule>
  </conditionalFormatting>
  <conditionalFormatting sqref="E29:E30">
    <cfRule type="containsText" dxfId="900" priority="1009" operator="containsText" text="On track to be achieved">
      <formula>NOT(ISERROR(SEARCH("On track to be achieved",E29)))</formula>
    </cfRule>
    <cfRule type="containsText" dxfId="899" priority="1010" operator="containsText" text="Deferred">
      <formula>NOT(ISERROR(SEARCH("Deferred",E29)))</formula>
    </cfRule>
    <cfRule type="containsText" dxfId="898" priority="1011" operator="containsText" text="Deleted">
      <formula>NOT(ISERROR(SEARCH("Deleted",E29)))</formula>
    </cfRule>
    <cfRule type="containsText" dxfId="897" priority="1012" operator="containsText" text="In Danger of Falling Behind Target">
      <formula>NOT(ISERROR(SEARCH("In Danger of Falling Behind Target",E29)))</formula>
    </cfRule>
    <cfRule type="containsText" dxfId="896" priority="1013" operator="containsText" text="Not yet due">
      <formula>NOT(ISERROR(SEARCH("Not yet due",E29)))</formula>
    </cfRule>
    <cfRule type="containsText" dxfId="895" priority="1014" operator="containsText" text="Update not Provided">
      <formula>NOT(ISERROR(SEARCH("Update not Provided",E29)))</formula>
    </cfRule>
    <cfRule type="containsText" dxfId="894" priority="1015" operator="containsText" text="Not yet due">
      <formula>NOT(ISERROR(SEARCH("Not yet due",E29)))</formula>
    </cfRule>
    <cfRule type="containsText" dxfId="893" priority="1016" operator="containsText" text="Completed Behind Schedule">
      <formula>NOT(ISERROR(SEARCH("Completed Behind Schedule",E29)))</formula>
    </cfRule>
    <cfRule type="containsText" dxfId="892" priority="1017" operator="containsText" text="Off Target">
      <formula>NOT(ISERROR(SEARCH("Off Target",E29)))</formula>
    </cfRule>
    <cfRule type="containsText" dxfId="891" priority="1018" operator="containsText" text="On Track to be Achieved">
      <formula>NOT(ISERROR(SEARCH("On Track to be Achieved",E29)))</formula>
    </cfRule>
    <cfRule type="containsText" dxfId="890" priority="1019" operator="containsText" text="Fully Achieved">
      <formula>NOT(ISERROR(SEARCH("Fully Achieved",E29)))</formula>
    </cfRule>
    <cfRule type="containsText" dxfId="889" priority="1020" operator="containsText" text="Not yet due">
      <formula>NOT(ISERROR(SEARCH("Not yet due",E29)))</formula>
    </cfRule>
    <cfRule type="containsText" dxfId="888" priority="1021" operator="containsText" text="Not Yet Due">
      <formula>NOT(ISERROR(SEARCH("Not Yet Due",E29)))</formula>
    </cfRule>
    <cfRule type="containsText" dxfId="887" priority="1022" operator="containsText" text="Deferred">
      <formula>NOT(ISERROR(SEARCH("Deferred",E29)))</formula>
    </cfRule>
    <cfRule type="containsText" dxfId="886" priority="1023" operator="containsText" text="Deleted">
      <formula>NOT(ISERROR(SEARCH("Deleted",E29)))</formula>
    </cfRule>
    <cfRule type="containsText" dxfId="885" priority="1024" operator="containsText" text="In Danger of Falling Behind Target">
      <formula>NOT(ISERROR(SEARCH("In Danger of Falling Behind Target",E29)))</formula>
    </cfRule>
    <cfRule type="containsText" dxfId="884" priority="1025" operator="containsText" text="Not yet due">
      <formula>NOT(ISERROR(SEARCH("Not yet due",E29)))</formula>
    </cfRule>
    <cfRule type="containsText" dxfId="883" priority="1026" operator="containsText" text="Completed Behind Schedule">
      <formula>NOT(ISERROR(SEARCH("Completed Behind Schedule",E29)))</formula>
    </cfRule>
    <cfRule type="containsText" dxfId="882" priority="1027" operator="containsText" text="Off Target">
      <formula>NOT(ISERROR(SEARCH("Off Target",E29)))</formula>
    </cfRule>
    <cfRule type="containsText" dxfId="881" priority="1028" operator="containsText" text="In Danger of Falling Behind Target">
      <formula>NOT(ISERROR(SEARCH("In Danger of Falling Behind Target",E29)))</formula>
    </cfRule>
    <cfRule type="containsText" dxfId="880" priority="1029" operator="containsText" text="On Track to be Achieved">
      <formula>NOT(ISERROR(SEARCH("On Track to be Achieved",E29)))</formula>
    </cfRule>
    <cfRule type="containsText" dxfId="879" priority="1030" operator="containsText" text="Fully Achieved">
      <formula>NOT(ISERROR(SEARCH("Fully Achieved",E29)))</formula>
    </cfRule>
    <cfRule type="containsText" dxfId="878" priority="1031" operator="containsText" text="Update not Provided">
      <formula>NOT(ISERROR(SEARCH("Update not Provided",E29)))</formula>
    </cfRule>
    <cfRule type="containsText" dxfId="877" priority="1032" operator="containsText" text="Not yet due">
      <formula>NOT(ISERROR(SEARCH("Not yet due",E29)))</formula>
    </cfRule>
    <cfRule type="containsText" dxfId="876" priority="1033" operator="containsText" text="Completed Behind Schedule">
      <formula>NOT(ISERROR(SEARCH("Completed Behind Schedule",E29)))</formula>
    </cfRule>
    <cfRule type="containsText" dxfId="875" priority="1034" operator="containsText" text="Off Target">
      <formula>NOT(ISERROR(SEARCH("Off Target",E29)))</formula>
    </cfRule>
    <cfRule type="containsText" dxfId="874" priority="1035" operator="containsText" text="In Danger of Falling Behind Target">
      <formula>NOT(ISERROR(SEARCH("In Danger of Falling Behind Target",E29)))</formula>
    </cfRule>
    <cfRule type="containsText" dxfId="873" priority="1036" operator="containsText" text="On Track to be Achieved">
      <formula>NOT(ISERROR(SEARCH("On Track to be Achieved",E29)))</formula>
    </cfRule>
    <cfRule type="containsText" dxfId="872" priority="1037" operator="containsText" text="Fully Achieved">
      <formula>NOT(ISERROR(SEARCH("Fully Achieved",E29)))</formula>
    </cfRule>
    <cfRule type="containsText" dxfId="871" priority="1038" operator="containsText" text="Fully Achieved">
      <formula>NOT(ISERROR(SEARCH("Fully Achieved",E29)))</formula>
    </cfRule>
    <cfRule type="containsText" dxfId="870" priority="1039" operator="containsText" text="Fully Achieved">
      <formula>NOT(ISERROR(SEARCH("Fully Achieved",E29)))</formula>
    </cfRule>
    <cfRule type="containsText" dxfId="869" priority="1040" operator="containsText" text="Deferred">
      <formula>NOT(ISERROR(SEARCH("Deferred",E29)))</formula>
    </cfRule>
    <cfRule type="containsText" dxfId="868" priority="1041" operator="containsText" text="Deleted">
      <formula>NOT(ISERROR(SEARCH("Deleted",E29)))</formula>
    </cfRule>
    <cfRule type="containsText" dxfId="867" priority="1042" operator="containsText" text="In Danger of Falling Behind Target">
      <formula>NOT(ISERROR(SEARCH("In Danger of Falling Behind Target",E29)))</formula>
    </cfRule>
    <cfRule type="containsText" dxfId="866" priority="1043" operator="containsText" text="Not yet due">
      <formula>NOT(ISERROR(SEARCH("Not yet due",E29)))</formula>
    </cfRule>
    <cfRule type="containsText" dxfId="865" priority="1044" operator="containsText" text="Update not Provided">
      <formula>NOT(ISERROR(SEARCH("Update not Provided",E29)))</formula>
    </cfRule>
  </conditionalFormatting>
  <conditionalFormatting sqref="E31">
    <cfRule type="containsText" dxfId="864" priority="973" operator="containsText" text="On track to be achieved">
      <formula>NOT(ISERROR(SEARCH("On track to be achieved",E31)))</formula>
    </cfRule>
    <cfRule type="containsText" dxfId="863" priority="974" operator="containsText" text="Deferred">
      <formula>NOT(ISERROR(SEARCH("Deferred",E31)))</formula>
    </cfRule>
    <cfRule type="containsText" dxfId="862" priority="975" operator="containsText" text="Deleted">
      <formula>NOT(ISERROR(SEARCH("Deleted",E31)))</formula>
    </cfRule>
    <cfRule type="containsText" dxfId="861" priority="976" operator="containsText" text="In Danger of Falling Behind Target">
      <formula>NOT(ISERROR(SEARCH("In Danger of Falling Behind Target",E31)))</formula>
    </cfRule>
    <cfRule type="containsText" dxfId="860" priority="977" operator="containsText" text="Not yet due">
      <formula>NOT(ISERROR(SEARCH("Not yet due",E31)))</formula>
    </cfRule>
    <cfRule type="containsText" dxfId="859" priority="978" operator="containsText" text="Update not Provided">
      <formula>NOT(ISERROR(SEARCH("Update not Provided",E31)))</formula>
    </cfRule>
    <cfRule type="containsText" dxfId="858" priority="979" operator="containsText" text="Not yet due">
      <formula>NOT(ISERROR(SEARCH("Not yet due",E31)))</formula>
    </cfRule>
    <cfRule type="containsText" dxfId="857" priority="980" operator="containsText" text="Completed Behind Schedule">
      <formula>NOT(ISERROR(SEARCH("Completed Behind Schedule",E31)))</formula>
    </cfRule>
    <cfRule type="containsText" dxfId="856" priority="981" operator="containsText" text="Off Target">
      <formula>NOT(ISERROR(SEARCH("Off Target",E31)))</formula>
    </cfRule>
    <cfRule type="containsText" dxfId="855" priority="982" operator="containsText" text="On Track to be Achieved">
      <formula>NOT(ISERROR(SEARCH("On Track to be Achieved",E31)))</formula>
    </cfRule>
    <cfRule type="containsText" dxfId="854" priority="983" operator="containsText" text="Fully Achieved">
      <formula>NOT(ISERROR(SEARCH("Fully Achieved",E31)))</formula>
    </cfRule>
    <cfRule type="containsText" dxfId="853" priority="984" operator="containsText" text="Not yet due">
      <formula>NOT(ISERROR(SEARCH("Not yet due",E31)))</formula>
    </cfRule>
    <cfRule type="containsText" dxfId="852" priority="985" operator="containsText" text="Not Yet Due">
      <formula>NOT(ISERROR(SEARCH("Not Yet Due",E31)))</formula>
    </cfRule>
    <cfRule type="containsText" dxfId="851" priority="986" operator="containsText" text="Deferred">
      <formula>NOT(ISERROR(SEARCH("Deferred",E31)))</formula>
    </cfRule>
    <cfRule type="containsText" dxfId="850" priority="987" operator="containsText" text="Deleted">
      <formula>NOT(ISERROR(SEARCH("Deleted",E31)))</formula>
    </cfRule>
    <cfRule type="containsText" dxfId="849" priority="988" operator="containsText" text="In Danger of Falling Behind Target">
      <formula>NOT(ISERROR(SEARCH("In Danger of Falling Behind Target",E31)))</formula>
    </cfRule>
    <cfRule type="containsText" dxfId="848" priority="989" operator="containsText" text="Not yet due">
      <formula>NOT(ISERROR(SEARCH("Not yet due",E31)))</formula>
    </cfRule>
    <cfRule type="containsText" dxfId="847" priority="990" operator="containsText" text="Completed Behind Schedule">
      <formula>NOT(ISERROR(SEARCH("Completed Behind Schedule",E31)))</formula>
    </cfRule>
    <cfRule type="containsText" dxfId="846" priority="991" operator="containsText" text="Off Target">
      <formula>NOT(ISERROR(SEARCH("Off Target",E31)))</formula>
    </cfRule>
    <cfRule type="containsText" dxfId="845" priority="992" operator="containsText" text="In Danger of Falling Behind Target">
      <formula>NOT(ISERROR(SEARCH("In Danger of Falling Behind Target",E31)))</formula>
    </cfRule>
    <cfRule type="containsText" dxfId="844" priority="993" operator="containsText" text="On Track to be Achieved">
      <formula>NOT(ISERROR(SEARCH("On Track to be Achieved",E31)))</formula>
    </cfRule>
    <cfRule type="containsText" dxfId="843" priority="994" operator="containsText" text="Fully Achieved">
      <formula>NOT(ISERROR(SEARCH("Fully Achieved",E31)))</formula>
    </cfRule>
    <cfRule type="containsText" dxfId="842" priority="995" operator="containsText" text="Update not Provided">
      <formula>NOT(ISERROR(SEARCH("Update not Provided",E31)))</formula>
    </cfRule>
    <cfRule type="containsText" dxfId="841" priority="996" operator="containsText" text="Not yet due">
      <formula>NOT(ISERROR(SEARCH("Not yet due",E31)))</formula>
    </cfRule>
    <cfRule type="containsText" dxfId="840" priority="997" operator="containsText" text="Completed Behind Schedule">
      <formula>NOT(ISERROR(SEARCH("Completed Behind Schedule",E31)))</formula>
    </cfRule>
    <cfRule type="containsText" dxfId="839" priority="998" operator="containsText" text="Off Target">
      <formula>NOT(ISERROR(SEARCH("Off Target",E31)))</formula>
    </cfRule>
    <cfRule type="containsText" dxfId="838" priority="999" operator="containsText" text="In Danger of Falling Behind Target">
      <formula>NOT(ISERROR(SEARCH("In Danger of Falling Behind Target",E31)))</formula>
    </cfRule>
    <cfRule type="containsText" dxfId="837" priority="1000" operator="containsText" text="On Track to be Achieved">
      <formula>NOT(ISERROR(SEARCH("On Track to be Achieved",E31)))</formula>
    </cfRule>
    <cfRule type="containsText" dxfId="836" priority="1001" operator="containsText" text="Fully Achieved">
      <formula>NOT(ISERROR(SEARCH("Fully Achieved",E31)))</formula>
    </cfRule>
    <cfRule type="containsText" dxfId="835" priority="1002" operator="containsText" text="Fully Achieved">
      <formula>NOT(ISERROR(SEARCH("Fully Achieved",E31)))</formula>
    </cfRule>
    <cfRule type="containsText" dxfId="834" priority="1003" operator="containsText" text="Fully Achieved">
      <formula>NOT(ISERROR(SEARCH("Fully Achieved",E31)))</formula>
    </cfRule>
    <cfRule type="containsText" dxfId="833" priority="1004" operator="containsText" text="Deferred">
      <formula>NOT(ISERROR(SEARCH("Deferred",E31)))</formula>
    </cfRule>
    <cfRule type="containsText" dxfId="832" priority="1005" operator="containsText" text="Deleted">
      <formula>NOT(ISERROR(SEARCH("Deleted",E31)))</formula>
    </cfRule>
    <cfRule type="containsText" dxfId="831" priority="1006" operator="containsText" text="In Danger of Falling Behind Target">
      <formula>NOT(ISERROR(SEARCH("In Danger of Falling Behind Target",E31)))</formula>
    </cfRule>
    <cfRule type="containsText" dxfId="830" priority="1007" operator="containsText" text="Not yet due">
      <formula>NOT(ISERROR(SEARCH("Not yet due",E31)))</formula>
    </cfRule>
    <cfRule type="containsText" dxfId="829" priority="1008" operator="containsText" text="Update not Provided">
      <formula>NOT(ISERROR(SEARCH("Update not Provided",E31)))</formula>
    </cfRule>
  </conditionalFormatting>
  <conditionalFormatting sqref="E33">
    <cfRule type="containsText" dxfId="828" priority="937" operator="containsText" text="On track to be achieved">
      <formula>NOT(ISERROR(SEARCH("On track to be achieved",E33)))</formula>
    </cfRule>
    <cfRule type="containsText" dxfId="827" priority="938" operator="containsText" text="Deferred">
      <formula>NOT(ISERROR(SEARCH("Deferred",E33)))</formula>
    </cfRule>
    <cfRule type="containsText" dxfId="826" priority="939" operator="containsText" text="Deleted">
      <formula>NOT(ISERROR(SEARCH("Deleted",E33)))</formula>
    </cfRule>
    <cfRule type="containsText" dxfId="825" priority="940" operator="containsText" text="In Danger of Falling Behind Target">
      <formula>NOT(ISERROR(SEARCH("In Danger of Falling Behind Target",E33)))</formula>
    </cfRule>
    <cfRule type="containsText" dxfId="824" priority="941" operator="containsText" text="Not yet due">
      <formula>NOT(ISERROR(SEARCH("Not yet due",E33)))</formula>
    </cfRule>
    <cfRule type="containsText" dxfId="823" priority="942" operator="containsText" text="Update not Provided">
      <formula>NOT(ISERROR(SEARCH("Update not Provided",E33)))</formula>
    </cfRule>
    <cfRule type="containsText" dxfId="822" priority="943" operator="containsText" text="Not yet due">
      <formula>NOT(ISERROR(SEARCH("Not yet due",E33)))</formula>
    </cfRule>
    <cfRule type="containsText" dxfId="821" priority="944" operator="containsText" text="Completed Behind Schedule">
      <formula>NOT(ISERROR(SEARCH("Completed Behind Schedule",E33)))</formula>
    </cfRule>
    <cfRule type="containsText" dxfId="820" priority="945" operator="containsText" text="Off Target">
      <formula>NOT(ISERROR(SEARCH("Off Target",E33)))</formula>
    </cfRule>
    <cfRule type="containsText" dxfId="819" priority="946" operator="containsText" text="On Track to be Achieved">
      <formula>NOT(ISERROR(SEARCH("On Track to be Achieved",E33)))</formula>
    </cfRule>
    <cfRule type="containsText" dxfId="818" priority="947" operator="containsText" text="Fully Achieved">
      <formula>NOT(ISERROR(SEARCH("Fully Achieved",E33)))</formula>
    </cfRule>
    <cfRule type="containsText" dxfId="817" priority="948" operator="containsText" text="Not yet due">
      <formula>NOT(ISERROR(SEARCH("Not yet due",E33)))</formula>
    </cfRule>
    <cfRule type="containsText" dxfId="816" priority="949" operator="containsText" text="Not Yet Due">
      <formula>NOT(ISERROR(SEARCH("Not Yet Due",E33)))</formula>
    </cfRule>
    <cfRule type="containsText" dxfId="815" priority="950" operator="containsText" text="Deferred">
      <formula>NOT(ISERROR(SEARCH("Deferred",E33)))</formula>
    </cfRule>
    <cfRule type="containsText" dxfId="814" priority="951" operator="containsText" text="Deleted">
      <formula>NOT(ISERROR(SEARCH("Deleted",E33)))</formula>
    </cfRule>
    <cfRule type="containsText" dxfId="813" priority="952" operator="containsText" text="In Danger of Falling Behind Target">
      <formula>NOT(ISERROR(SEARCH("In Danger of Falling Behind Target",E33)))</formula>
    </cfRule>
    <cfRule type="containsText" dxfId="812" priority="953" operator="containsText" text="Not yet due">
      <formula>NOT(ISERROR(SEARCH("Not yet due",E33)))</formula>
    </cfRule>
    <cfRule type="containsText" dxfId="811" priority="954" operator="containsText" text="Completed Behind Schedule">
      <formula>NOT(ISERROR(SEARCH("Completed Behind Schedule",E33)))</formula>
    </cfRule>
    <cfRule type="containsText" dxfId="810" priority="955" operator="containsText" text="Off Target">
      <formula>NOT(ISERROR(SEARCH("Off Target",E33)))</formula>
    </cfRule>
    <cfRule type="containsText" dxfId="809" priority="956" operator="containsText" text="In Danger of Falling Behind Target">
      <formula>NOT(ISERROR(SEARCH("In Danger of Falling Behind Target",E33)))</formula>
    </cfRule>
    <cfRule type="containsText" dxfId="808" priority="957" operator="containsText" text="On Track to be Achieved">
      <formula>NOT(ISERROR(SEARCH("On Track to be Achieved",E33)))</formula>
    </cfRule>
    <cfRule type="containsText" dxfId="807" priority="958" operator="containsText" text="Fully Achieved">
      <formula>NOT(ISERROR(SEARCH("Fully Achieved",E33)))</formula>
    </cfRule>
    <cfRule type="containsText" dxfId="806" priority="959" operator="containsText" text="Update not Provided">
      <formula>NOT(ISERROR(SEARCH("Update not Provided",E33)))</formula>
    </cfRule>
    <cfRule type="containsText" dxfId="805" priority="960" operator="containsText" text="Not yet due">
      <formula>NOT(ISERROR(SEARCH("Not yet due",E33)))</formula>
    </cfRule>
    <cfRule type="containsText" dxfId="804" priority="961" operator="containsText" text="Completed Behind Schedule">
      <formula>NOT(ISERROR(SEARCH("Completed Behind Schedule",E33)))</formula>
    </cfRule>
    <cfRule type="containsText" dxfId="803" priority="962" operator="containsText" text="Off Target">
      <formula>NOT(ISERROR(SEARCH("Off Target",E33)))</formula>
    </cfRule>
    <cfRule type="containsText" dxfId="802" priority="963" operator="containsText" text="In Danger of Falling Behind Target">
      <formula>NOT(ISERROR(SEARCH("In Danger of Falling Behind Target",E33)))</formula>
    </cfRule>
    <cfRule type="containsText" dxfId="801" priority="964" operator="containsText" text="On Track to be Achieved">
      <formula>NOT(ISERROR(SEARCH("On Track to be Achieved",E33)))</formula>
    </cfRule>
    <cfRule type="containsText" dxfId="800" priority="965" operator="containsText" text="Fully Achieved">
      <formula>NOT(ISERROR(SEARCH("Fully Achieved",E33)))</formula>
    </cfRule>
    <cfRule type="containsText" dxfId="799" priority="966" operator="containsText" text="Fully Achieved">
      <formula>NOT(ISERROR(SEARCH("Fully Achieved",E33)))</formula>
    </cfRule>
    <cfRule type="containsText" dxfId="798" priority="967" operator="containsText" text="Fully Achieved">
      <formula>NOT(ISERROR(SEARCH("Fully Achieved",E33)))</formula>
    </cfRule>
    <cfRule type="containsText" dxfId="797" priority="968" operator="containsText" text="Deferred">
      <formula>NOT(ISERROR(SEARCH("Deferred",E33)))</formula>
    </cfRule>
    <cfRule type="containsText" dxfId="796" priority="969" operator="containsText" text="Deleted">
      <formula>NOT(ISERROR(SEARCH("Deleted",E33)))</formula>
    </cfRule>
    <cfRule type="containsText" dxfId="795" priority="970" operator="containsText" text="In Danger of Falling Behind Target">
      <formula>NOT(ISERROR(SEARCH("In Danger of Falling Behind Target",E33)))</formula>
    </cfRule>
    <cfRule type="containsText" dxfId="794" priority="971" operator="containsText" text="Not yet due">
      <formula>NOT(ISERROR(SEARCH("Not yet due",E33)))</formula>
    </cfRule>
    <cfRule type="containsText" dxfId="793" priority="972" operator="containsText" text="Update not Provided">
      <formula>NOT(ISERROR(SEARCH("Update not Provided",E33)))</formula>
    </cfRule>
  </conditionalFormatting>
  <conditionalFormatting sqref="E34">
    <cfRule type="containsText" dxfId="792" priority="901" operator="containsText" text="On track to be achieved">
      <formula>NOT(ISERROR(SEARCH("On track to be achieved",E34)))</formula>
    </cfRule>
    <cfRule type="containsText" dxfId="791" priority="902" operator="containsText" text="Deferred">
      <formula>NOT(ISERROR(SEARCH("Deferred",E34)))</formula>
    </cfRule>
    <cfRule type="containsText" dxfId="790" priority="903" operator="containsText" text="Deleted">
      <formula>NOT(ISERROR(SEARCH("Deleted",E34)))</formula>
    </cfRule>
    <cfRule type="containsText" dxfId="789" priority="904" operator="containsText" text="In Danger of Falling Behind Target">
      <formula>NOT(ISERROR(SEARCH("In Danger of Falling Behind Target",E34)))</formula>
    </cfRule>
    <cfRule type="containsText" dxfId="788" priority="905" operator="containsText" text="Not yet due">
      <formula>NOT(ISERROR(SEARCH("Not yet due",E34)))</formula>
    </cfRule>
    <cfRule type="containsText" dxfId="787" priority="906" operator="containsText" text="Update not Provided">
      <formula>NOT(ISERROR(SEARCH("Update not Provided",E34)))</formula>
    </cfRule>
    <cfRule type="containsText" dxfId="786" priority="907" operator="containsText" text="Not yet due">
      <formula>NOT(ISERROR(SEARCH("Not yet due",E34)))</formula>
    </cfRule>
    <cfRule type="containsText" dxfId="785" priority="908" operator="containsText" text="Completed Behind Schedule">
      <formula>NOT(ISERROR(SEARCH("Completed Behind Schedule",E34)))</formula>
    </cfRule>
    <cfRule type="containsText" dxfId="784" priority="909" operator="containsText" text="Off Target">
      <formula>NOT(ISERROR(SEARCH("Off Target",E34)))</formula>
    </cfRule>
    <cfRule type="containsText" dxfId="783" priority="910" operator="containsText" text="On Track to be Achieved">
      <formula>NOT(ISERROR(SEARCH("On Track to be Achieved",E34)))</formula>
    </cfRule>
    <cfRule type="containsText" dxfId="782" priority="911" operator="containsText" text="Fully Achieved">
      <formula>NOT(ISERROR(SEARCH("Fully Achieved",E34)))</formula>
    </cfRule>
    <cfRule type="containsText" dxfId="781" priority="912" operator="containsText" text="Not yet due">
      <formula>NOT(ISERROR(SEARCH("Not yet due",E34)))</formula>
    </cfRule>
    <cfRule type="containsText" dxfId="780" priority="913" operator="containsText" text="Not Yet Due">
      <formula>NOT(ISERROR(SEARCH("Not Yet Due",E34)))</formula>
    </cfRule>
    <cfRule type="containsText" dxfId="779" priority="914" operator="containsText" text="Deferred">
      <formula>NOT(ISERROR(SEARCH("Deferred",E34)))</formula>
    </cfRule>
    <cfRule type="containsText" dxfId="778" priority="915" operator="containsText" text="Deleted">
      <formula>NOT(ISERROR(SEARCH("Deleted",E34)))</formula>
    </cfRule>
    <cfRule type="containsText" dxfId="777" priority="916" operator="containsText" text="In Danger of Falling Behind Target">
      <formula>NOT(ISERROR(SEARCH("In Danger of Falling Behind Target",E34)))</formula>
    </cfRule>
    <cfRule type="containsText" dxfId="776" priority="917" operator="containsText" text="Not yet due">
      <formula>NOT(ISERROR(SEARCH("Not yet due",E34)))</formula>
    </cfRule>
    <cfRule type="containsText" dxfId="775" priority="918" operator="containsText" text="Completed Behind Schedule">
      <formula>NOT(ISERROR(SEARCH("Completed Behind Schedule",E34)))</formula>
    </cfRule>
    <cfRule type="containsText" dxfId="774" priority="919" operator="containsText" text="Off Target">
      <formula>NOT(ISERROR(SEARCH("Off Target",E34)))</formula>
    </cfRule>
    <cfRule type="containsText" dxfId="773" priority="920" operator="containsText" text="In Danger of Falling Behind Target">
      <formula>NOT(ISERROR(SEARCH("In Danger of Falling Behind Target",E34)))</formula>
    </cfRule>
    <cfRule type="containsText" dxfId="772" priority="921" operator="containsText" text="On Track to be Achieved">
      <formula>NOT(ISERROR(SEARCH("On Track to be Achieved",E34)))</formula>
    </cfRule>
    <cfRule type="containsText" dxfId="771" priority="922" operator="containsText" text="Fully Achieved">
      <formula>NOT(ISERROR(SEARCH("Fully Achieved",E34)))</formula>
    </cfRule>
    <cfRule type="containsText" dxfId="770" priority="923" operator="containsText" text="Update not Provided">
      <formula>NOT(ISERROR(SEARCH("Update not Provided",E34)))</formula>
    </cfRule>
    <cfRule type="containsText" dxfId="769" priority="924" operator="containsText" text="Not yet due">
      <formula>NOT(ISERROR(SEARCH("Not yet due",E34)))</formula>
    </cfRule>
    <cfRule type="containsText" dxfId="768" priority="925" operator="containsText" text="Completed Behind Schedule">
      <formula>NOT(ISERROR(SEARCH("Completed Behind Schedule",E34)))</formula>
    </cfRule>
    <cfRule type="containsText" dxfId="767" priority="926" operator="containsText" text="Off Target">
      <formula>NOT(ISERROR(SEARCH("Off Target",E34)))</formula>
    </cfRule>
    <cfRule type="containsText" dxfId="766" priority="927" operator="containsText" text="In Danger of Falling Behind Target">
      <formula>NOT(ISERROR(SEARCH("In Danger of Falling Behind Target",E34)))</formula>
    </cfRule>
    <cfRule type="containsText" dxfId="765" priority="928" operator="containsText" text="On Track to be Achieved">
      <formula>NOT(ISERROR(SEARCH("On Track to be Achieved",E34)))</formula>
    </cfRule>
    <cfRule type="containsText" dxfId="764" priority="929" operator="containsText" text="Fully Achieved">
      <formula>NOT(ISERROR(SEARCH("Fully Achieved",E34)))</formula>
    </cfRule>
    <cfRule type="containsText" dxfId="763" priority="930" operator="containsText" text="Fully Achieved">
      <formula>NOT(ISERROR(SEARCH("Fully Achieved",E34)))</formula>
    </cfRule>
    <cfRule type="containsText" dxfId="762" priority="931" operator="containsText" text="Fully Achieved">
      <formula>NOT(ISERROR(SEARCH("Fully Achieved",E34)))</formula>
    </cfRule>
    <cfRule type="containsText" dxfId="761" priority="932" operator="containsText" text="Deferred">
      <formula>NOT(ISERROR(SEARCH("Deferred",E34)))</formula>
    </cfRule>
    <cfRule type="containsText" dxfId="760" priority="933" operator="containsText" text="Deleted">
      <formula>NOT(ISERROR(SEARCH("Deleted",E34)))</formula>
    </cfRule>
    <cfRule type="containsText" dxfId="759" priority="934" operator="containsText" text="In Danger of Falling Behind Target">
      <formula>NOT(ISERROR(SEARCH("In Danger of Falling Behind Target",E34)))</formula>
    </cfRule>
    <cfRule type="containsText" dxfId="758" priority="935" operator="containsText" text="Not yet due">
      <formula>NOT(ISERROR(SEARCH("Not yet due",E34)))</formula>
    </cfRule>
    <cfRule type="containsText" dxfId="757" priority="936" operator="containsText" text="Update not Provided">
      <formula>NOT(ISERROR(SEARCH("Update not Provided",E34)))</formula>
    </cfRule>
  </conditionalFormatting>
  <conditionalFormatting sqref="E36">
    <cfRule type="containsText" dxfId="756" priority="865" operator="containsText" text="On track to be achieved">
      <formula>NOT(ISERROR(SEARCH("On track to be achieved",E36)))</formula>
    </cfRule>
    <cfRule type="containsText" dxfId="755" priority="866" operator="containsText" text="Deferred">
      <formula>NOT(ISERROR(SEARCH("Deferred",E36)))</formula>
    </cfRule>
    <cfRule type="containsText" dxfId="754" priority="867" operator="containsText" text="Deleted">
      <formula>NOT(ISERROR(SEARCH("Deleted",E36)))</formula>
    </cfRule>
    <cfRule type="containsText" dxfId="753" priority="868" operator="containsText" text="In Danger of Falling Behind Target">
      <formula>NOT(ISERROR(SEARCH("In Danger of Falling Behind Target",E36)))</formula>
    </cfRule>
    <cfRule type="containsText" dxfId="752" priority="869" operator="containsText" text="Not yet due">
      <formula>NOT(ISERROR(SEARCH("Not yet due",E36)))</formula>
    </cfRule>
    <cfRule type="containsText" dxfId="751" priority="870" operator="containsText" text="Update not Provided">
      <formula>NOT(ISERROR(SEARCH("Update not Provided",E36)))</formula>
    </cfRule>
    <cfRule type="containsText" dxfId="750" priority="871" operator="containsText" text="Not yet due">
      <formula>NOT(ISERROR(SEARCH("Not yet due",E36)))</formula>
    </cfRule>
    <cfRule type="containsText" dxfId="749" priority="872" operator="containsText" text="Completed Behind Schedule">
      <formula>NOT(ISERROR(SEARCH("Completed Behind Schedule",E36)))</formula>
    </cfRule>
    <cfRule type="containsText" dxfId="748" priority="873" operator="containsText" text="Off Target">
      <formula>NOT(ISERROR(SEARCH("Off Target",E36)))</formula>
    </cfRule>
    <cfRule type="containsText" dxfId="747" priority="874" operator="containsText" text="On Track to be Achieved">
      <formula>NOT(ISERROR(SEARCH("On Track to be Achieved",E36)))</formula>
    </cfRule>
    <cfRule type="containsText" dxfId="746" priority="875" operator="containsText" text="Fully Achieved">
      <formula>NOT(ISERROR(SEARCH("Fully Achieved",E36)))</formula>
    </cfRule>
    <cfRule type="containsText" dxfId="745" priority="876" operator="containsText" text="Not yet due">
      <formula>NOT(ISERROR(SEARCH("Not yet due",E36)))</formula>
    </cfRule>
    <cfRule type="containsText" dxfId="744" priority="877" operator="containsText" text="Not Yet Due">
      <formula>NOT(ISERROR(SEARCH("Not Yet Due",E36)))</formula>
    </cfRule>
    <cfRule type="containsText" dxfId="743" priority="878" operator="containsText" text="Deferred">
      <formula>NOT(ISERROR(SEARCH("Deferred",E36)))</formula>
    </cfRule>
    <cfRule type="containsText" dxfId="742" priority="879" operator="containsText" text="Deleted">
      <formula>NOT(ISERROR(SEARCH("Deleted",E36)))</formula>
    </cfRule>
    <cfRule type="containsText" dxfId="741" priority="880" operator="containsText" text="In Danger of Falling Behind Target">
      <formula>NOT(ISERROR(SEARCH("In Danger of Falling Behind Target",E36)))</formula>
    </cfRule>
    <cfRule type="containsText" dxfId="740" priority="881" operator="containsText" text="Not yet due">
      <formula>NOT(ISERROR(SEARCH("Not yet due",E36)))</formula>
    </cfRule>
    <cfRule type="containsText" dxfId="739" priority="882" operator="containsText" text="Completed Behind Schedule">
      <formula>NOT(ISERROR(SEARCH("Completed Behind Schedule",E36)))</formula>
    </cfRule>
    <cfRule type="containsText" dxfId="738" priority="883" operator="containsText" text="Off Target">
      <formula>NOT(ISERROR(SEARCH("Off Target",E36)))</formula>
    </cfRule>
    <cfRule type="containsText" dxfId="737" priority="884" operator="containsText" text="In Danger of Falling Behind Target">
      <formula>NOT(ISERROR(SEARCH("In Danger of Falling Behind Target",E36)))</formula>
    </cfRule>
    <cfRule type="containsText" dxfId="736" priority="885" operator="containsText" text="On Track to be Achieved">
      <formula>NOT(ISERROR(SEARCH("On Track to be Achieved",E36)))</formula>
    </cfRule>
    <cfRule type="containsText" dxfId="735" priority="886" operator="containsText" text="Fully Achieved">
      <formula>NOT(ISERROR(SEARCH("Fully Achieved",E36)))</formula>
    </cfRule>
    <cfRule type="containsText" dxfId="734" priority="887" operator="containsText" text="Update not Provided">
      <formula>NOT(ISERROR(SEARCH("Update not Provided",E36)))</formula>
    </cfRule>
    <cfRule type="containsText" dxfId="733" priority="888" operator="containsText" text="Not yet due">
      <formula>NOT(ISERROR(SEARCH("Not yet due",E36)))</formula>
    </cfRule>
    <cfRule type="containsText" dxfId="732" priority="889" operator="containsText" text="Completed Behind Schedule">
      <formula>NOT(ISERROR(SEARCH("Completed Behind Schedule",E36)))</formula>
    </cfRule>
    <cfRule type="containsText" dxfId="731" priority="890" operator="containsText" text="Off Target">
      <formula>NOT(ISERROR(SEARCH("Off Target",E36)))</formula>
    </cfRule>
    <cfRule type="containsText" dxfId="730" priority="891" operator="containsText" text="In Danger of Falling Behind Target">
      <formula>NOT(ISERROR(SEARCH("In Danger of Falling Behind Target",E36)))</formula>
    </cfRule>
    <cfRule type="containsText" dxfId="729" priority="892" operator="containsText" text="On Track to be Achieved">
      <formula>NOT(ISERROR(SEARCH("On Track to be Achieved",E36)))</formula>
    </cfRule>
    <cfRule type="containsText" dxfId="728" priority="893" operator="containsText" text="Fully Achieved">
      <formula>NOT(ISERROR(SEARCH("Fully Achieved",E36)))</formula>
    </cfRule>
    <cfRule type="containsText" dxfId="727" priority="894" operator="containsText" text="Fully Achieved">
      <formula>NOT(ISERROR(SEARCH("Fully Achieved",E36)))</formula>
    </cfRule>
    <cfRule type="containsText" dxfId="726" priority="895" operator="containsText" text="Fully Achieved">
      <formula>NOT(ISERROR(SEARCH("Fully Achieved",E36)))</formula>
    </cfRule>
    <cfRule type="containsText" dxfId="725" priority="896" operator="containsText" text="Deferred">
      <formula>NOT(ISERROR(SEARCH("Deferred",E36)))</formula>
    </cfRule>
    <cfRule type="containsText" dxfId="724" priority="897" operator="containsText" text="Deleted">
      <formula>NOT(ISERROR(SEARCH("Deleted",E36)))</formula>
    </cfRule>
    <cfRule type="containsText" dxfId="723" priority="898" operator="containsText" text="In Danger of Falling Behind Target">
      <formula>NOT(ISERROR(SEARCH("In Danger of Falling Behind Target",E36)))</formula>
    </cfRule>
    <cfRule type="containsText" dxfId="722" priority="899" operator="containsText" text="Not yet due">
      <formula>NOT(ISERROR(SEARCH("Not yet due",E36)))</formula>
    </cfRule>
    <cfRule type="containsText" dxfId="721" priority="900" operator="containsText" text="Update not Provided">
      <formula>NOT(ISERROR(SEARCH("Update not Provided",E36)))</formula>
    </cfRule>
  </conditionalFormatting>
  <conditionalFormatting sqref="E38">
    <cfRule type="containsText" dxfId="720" priority="829" operator="containsText" text="On track to be achieved">
      <formula>NOT(ISERROR(SEARCH("On track to be achieved",E38)))</formula>
    </cfRule>
    <cfRule type="containsText" dxfId="719" priority="830" operator="containsText" text="Deferred">
      <formula>NOT(ISERROR(SEARCH("Deferred",E38)))</formula>
    </cfRule>
    <cfRule type="containsText" dxfId="718" priority="831" operator="containsText" text="Deleted">
      <formula>NOT(ISERROR(SEARCH("Deleted",E38)))</formula>
    </cfRule>
    <cfRule type="containsText" dxfId="717" priority="832" operator="containsText" text="In Danger of Falling Behind Target">
      <formula>NOT(ISERROR(SEARCH("In Danger of Falling Behind Target",E38)))</formula>
    </cfRule>
    <cfRule type="containsText" dxfId="716" priority="833" operator="containsText" text="Not yet due">
      <formula>NOT(ISERROR(SEARCH("Not yet due",E38)))</formula>
    </cfRule>
    <cfRule type="containsText" dxfId="715" priority="834" operator="containsText" text="Update not Provided">
      <formula>NOT(ISERROR(SEARCH("Update not Provided",E38)))</formula>
    </cfRule>
    <cfRule type="containsText" dxfId="714" priority="835" operator="containsText" text="Not yet due">
      <formula>NOT(ISERROR(SEARCH("Not yet due",E38)))</formula>
    </cfRule>
    <cfRule type="containsText" dxfId="713" priority="836" operator="containsText" text="Completed Behind Schedule">
      <formula>NOT(ISERROR(SEARCH("Completed Behind Schedule",E38)))</formula>
    </cfRule>
    <cfRule type="containsText" dxfId="712" priority="837" operator="containsText" text="Off Target">
      <formula>NOT(ISERROR(SEARCH("Off Target",E38)))</formula>
    </cfRule>
    <cfRule type="containsText" dxfId="711" priority="838" operator="containsText" text="On Track to be Achieved">
      <formula>NOT(ISERROR(SEARCH("On Track to be Achieved",E38)))</formula>
    </cfRule>
    <cfRule type="containsText" dxfId="710" priority="839" operator="containsText" text="Fully Achieved">
      <formula>NOT(ISERROR(SEARCH("Fully Achieved",E38)))</formula>
    </cfRule>
    <cfRule type="containsText" dxfId="709" priority="840" operator="containsText" text="Not yet due">
      <formula>NOT(ISERROR(SEARCH("Not yet due",E38)))</formula>
    </cfRule>
    <cfRule type="containsText" dxfId="708" priority="841" operator="containsText" text="Not Yet Due">
      <formula>NOT(ISERROR(SEARCH("Not Yet Due",E38)))</formula>
    </cfRule>
    <cfRule type="containsText" dxfId="707" priority="842" operator="containsText" text="Deferred">
      <formula>NOT(ISERROR(SEARCH("Deferred",E38)))</formula>
    </cfRule>
    <cfRule type="containsText" dxfId="706" priority="843" operator="containsText" text="Deleted">
      <formula>NOT(ISERROR(SEARCH("Deleted",E38)))</formula>
    </cfRule>
    <cfRule type="containsText" dxfId="705" priority="844" operator="containsText" text="In Danger of Falling Behind Target">
      <formula>NOT(ISERROR(SEARCH("In Danger of Falling Behind Target",E38)))</formula>
    </cfRule>
    <cfRule type="containsText" dxfId="704" priority="845" operator="containsText" text="Not yet due">
      <formula>NOT(ISERROR(SEARCH("Not yet due",E38)))</formula>
    </cfRule>
    <cfRule type="containsText" dxfId="703" priority="846" operator="containsText" text="Completed Behind Schedule">
      <formula>NOT(ISERROR(SEARCH("Completed Behind Schedule",E38)))</formula>
    </cfRule>
    <cfRule type="containsText" dxfId="702" priority="847" operator="containsText" text="Off Target">
      <formula>NOT(ISERROR(SEARCH("Off Target",E38)))</formula>
    </cfRule>
    <cfRule type="containsText" dxfId="701" priority="848" operator="containsText" text="In Danger of Falling Behind Target">
      <formula>NOT(ISERROR(SEARCH("In Danger of Falling Behind Target",E38)))</formula>
    </cfRule>
    <cfRule type="containsText" dxfId="700" priority="849" operator="containsText" text="On Track to be Achieved">
      <formula>NOT(ISERROR(SEARCH("On Track to be Achieved",E38)))</formula>
    </cfRule>
    <cfRule type="containsText" dxfId="699" priority="850" operator="containsText" text="Fully Achieved">
      <formula>NOT(ISERROR(SEARCH("Fully Achieved",E38)))</formula>
    </cfRule>
    <cfRule type="containsText" dxfId="698" priority="851" operator="containsText" text="Update not Provided">
      <formula>NOT(ISERROR(SEARCH("Update not Provided",E38)))</formula>
    </cfRule>
    <cfRule type="containsText" dxfId="697" priority="852" operator="containsText" text="Not yet due">
      <formula>NOT(ISERROR(SEARCH("Not yet due",E38)))</formula>
    </cfRule>
    <cfRule type="containsText" dxfId="696" priority="853" operator="containsText" text="Completed Behind Schedule">
      <formula>NOT(ISERROR(SEARCH("Completed Behind Schedule",E38)))</formula>
    </cfRule>
    <cfRule type="containsText" dxfId="695" priority="854" operator="containsText" text="Off Target">
      <formula>NOT(ISERROR(SEARCH("Off Target",E38)))</formula>
    </cfRule>
    <cfRule type="containsText" dxfId="694" priority="855" operator="containsText" text="In Danger of Falling Behind Target">
      <formula>NOT(ISERROR(SEARCH("In Danger of Falling Behind Target",E38)))</formula>
    </cfRule>
    <cfRule type="containsText" dxfId="693" priority="856" operator="containsText" text="On Track to be Achieved">
      <formula>NOT(ISERROR(SEARCH("On Track to be Achieved",E38)))</formula>
    </cfRule>
    <cfRule type="containsText" dxfId="692" priority="857" operator="containsText" text="Fully Achieved">
      <formula>NOT(ISERROR(SEARCH("Fully Achieved",E38)))</formula>
    </cfRule>
    <cfRule type="containsText" dxfId="691" priority="858" operator="containsText" text="Fully Achieved">
      <formula>NOT(ISERROR(SEARCH("Fully Achieved",E38)))</formula>
    </cfRule>
    <cfRule type="containsText" dxfId="690" priority="859" operator="containsText" text="Fully Achieved">
      <formula>NOT(ISERROR(SEARCH("Fully Achieved",E38)))</formula>
    </cfRule>
    <cfRule type="containsText" dxfId="689" priority="860" operator="containsText" text="Deferred">
      <formula>NOT(ISERROR(SEARCH("Deferred",E38)))</formula>
    </cfRule>
    <cfRule type="containsText" dxfId="688" priority="861" operator="containsText" text="Deleted">
      <formula>NOT(ISERROR(SEARCH("Deleted",E38)))</formula>
    </cfRule>
    <cfRule type="containsText" dxfId="687" priority="862" operator="containsText" text="In Danger of Falling Behind Target">
      <formula>NOT(ISERROR(SEARCH("In Danger of Falling Behind Target",E38)))</formula>
    </cfRule>
    <cfRule type="containsText" dxfId="686" priority="863" operator="containsText" text="Not yet due">
      <formula>NOT(ISERROR(SEARCH("Not yet due",E38)))</formula>
    </cfRule>
    <cfRule type="containsText" dxfId="685" priority="864" operator="containsText" text="Update not Provided">
      <formula>NOT(ISERROR(SEARCH("Update not Provided",E38)))</formula>
    </cfRule>
  </conditionalFormatting>
  <conditionalFormatting sqref="E40:E41">
    <cfRule type="containsText" dxfId="684" priority="793" operator="containsText" text="On track to be achieved">
      <formula>NOT(ISERROR(SEARCH("On track to be achieved",E40)))</formula>
    </cfRule>
    <cfRule type="containsText" dxfId="683" priority="794" operator="containsText" text="Deferred">
      <formula>NOT(ISERROR(SEARCH("Deferred",E40)))</formula>
    </cfRule>
    <cfRule type="containsText" dxfId="682" priority="795" operator="containsText" text="Deleted">
      <formula>NOT(ISERROR(SEARCH("Deleted",E40)))</formula>
    </cfRule>
    <cfRule type="containsText" dxfId="681" priority="796" operator="containsText" text="In Danger of Falling Behind Target">
      <formula>NOT(ISERROR(SEARCH("In Danger of Falling Behind Target",E40)))</formula>
    </cfRule>
    <cfRule type="containsText" dxfId="680" priority="797" operator="containsText" text="Not yet due">
      <formula>NOT(ISERROR(SEARCH("Not yet due",E40)))</formula>
    </cfRule>
    <cfRule type="containsText" dxfId="679" priority="798" operator="containsText" text="Update not Provided">
      <formula>NOT(ISERROR(SEARCH("Update not Provided",E40)))</formula>
    </cfRule>
    <cfRule type="containsText" dxfId="678" priority="799" operator="containsText" text="Not yet due">
      <formula>NOT(ISERROR(SEARCH("Not yet due",E40)))</formula>
    </cfRule>
    <cfRule type="containsText" dxfId="677" priority="800" operator="containsText" text="Completed Behind Schedule">
      <formula>NOT(ISERROR(SEARCH("Completed Behind Schedule",E40)))</formula>
    </cfRule>
    <cfRule type="containsText" dxfId="676" priority="801" operator="containsText" text="Off Target">
      <formula>NOT(ISERROR(SEARCH("Off Target",E40)))</formula>
    </cfRule>
    <cfRule type="containsText" dxfId="675" priority="802" operator="containsText" text="On Track to be Achieved">
      <formula>NOT(ISERROR(SEARCH("On Track to be Achieved",E40)))</formula>
    </cfRule>
    <cfRule type="containsText" dxfId="674" priority="803" operator="containsText" text="Fully Achieved">
      <formula>NOT(ISERROR(SEARCH("Fully Achieved",E40)))</formula>
    </cfRule>
    <cfRule type="containsText" dxfId="673" priority="804" operator="containsText" text="Not yet due">
      <formula>NOT(ISERROR(SEARCH("Not yet due",E40)))</formula>
    </cfRule>
    <cfRule type="containsText" dxfId="672" priority="805" operator="containsText" text="Not Yet Due">
      <formula>NOT(ISERROR(SEARCH("Not Yet Due",E40)))</formula>
    </cfRule>
    <cfRule type="containsText" dxfId="671" priority="806" operator="containsText" text="Deferred">
      <formula>NOT(ISERROR(SEARCH("Deferred",E40)))</formula>
    </cfRule>
    <cfRule type="containsText" dxfId="670" priority="807" operator="containsText" text="Deleted">
      <formula>NOT(ISERROR(SEARCH("Deleted",E40)))</formula>
    </cfRule>
    <cfRule type="containsText" dxfId="669" priority="808" operator="containsText" text="In Danger of Falling Behind Target">
      <formula>NOT(ISERROR(SEARCH("In Danger of Falling Behind Target",E40)))</formula>
    </cfRule>
    <cfRule type="containsText" dxfId="668" priority="809" operator="containsText" text="Not yet due">
      <formula>NOT(ISERROR(SEARCH("Not yet due",E40)))</formula>
    </cfRule>
    <cfRule type="containsText" dxfId="667" priority="810" operator="containsText" text="Completed Behind Schedule">
      <formula>NOT(ISERROR(SEARCH("Completed Behind Schedule",E40)))</formula>
    </cfRule>
    <cfRule type="containsText" dxfId="666" priority="811" operator="containsText" text="Off Target">
      <formula>NOT(ISERROR(SEARCH("Off Target",E40)))</formula>
    </cfRule>
    <cfRule type="containsText" dxfId="665" priority="812" operator="containsText" text="In Danger of Falling Behind Target">
      <formula>NOT(ISERROR(SEARCH("In Danger of Falling Behind Target",E40)))</formula>
    </cfRule>
    <cfRule type="containsText" dxfId="664" priority="813" operator="containsText" text="On Track to be Achieved">
      <formula>NOT(ISERROR(SEARCH("On Track to be Achieved",E40)))</formula>
    </cfRule>
    <cfRule type="containsText" dxfId="663" priority="814" operator="containsText" text="Fully Achieved">
      <formula>NOT(ISERROR(SEARCH("Fully Achieved",E40)))</formula>
    </cfRule>
    <cfRule type="containsText" dxfId="662" priority="815" operator="containsText" text="Update not Provided">
      <formula>NOT(ISERROR(SEARCH("Update not Provided",E40)))</formula>
    </cfRule>
    <cfRule type="containsText" dxfId="661" priority="816" operator="containsText" text="Not yet due">
      <formula>NOT(ISERROR(SEARCH("Not yet due",E40)))</formula>
    </cfRule>
    <cfRule type="containsText" dxfId="660" priority="817" operator="containsText" text="Completed Behind Schedule">
      <formula>NOT(ISERROR(SEARCH("Completed Behind Schedule",E40)))</formula>
    </cfRule>
    <cfRule type="containsText" dxfId="659" priority="818" operator="containsText" text="Off Target">
      <formula>NOT(ISERROR(SEARCH("Off Target",E40)))</formula>
    </cfRule>
    <cfRule type="containsText" dxfId="658" priority="819" operator="containsText" text="In Danger of Falling Behind Target">
      <formula>NOT(ISERROR(SEARCH("In Danger of Falling Behind Target",E40)))</formula>
    </cfRule>
    <cfRule type="containsText" dxfId="657" priority="820" operator="containsText" text="On Track to be Achieved">
      <formula>NOT(ISERROR(SEARCH("On Track to be Achieved",E40)))</formula>
    </cfRule>
    <cfRule type="containsText" dxfId="656" priority="821" operator="containsText" text="Fully Achieved">
      <formula>NOT(ISERROR(SEARCH("Fully Achieved",E40)))</formula>
    </cfRule>
    <cfRule type="containsText" dxfId="655" priority="822" operator="containsText" text="Fully Achieved">
      <formula>NOT(ISERROR(SEARCH("Fully Achieved",E40)))</formula>
    </cfRule>
    <cfRule type="containsText" dxfId="654" priority="823" operator="containsText" text="Fully Achieved">
      <formula>NOT(ISERROR(SEARCH("Fully Achieved",E40)))</formula>
    </cfRule>
    <cfRule type="containsText" dxfId="653" priority="824" operator="containsText" text="Deferred">
      <formula>NOT(ISERROR(SEARCH("Deferred",E40)))</formula>
    </cfRule>
    <cfRule type="containsText" dxfId="652" priority="825" operator="containsText" text="Deleted">
      <formula>NOT(ISERROR(SEARCH("Deleted",E40)))</formula>
    </cfRule>
    <cfRule type="containsText" dxfId="651" priority="826" operator="containsText" text="In Danger of Falling Behind Target">
      <formula>NOT(ISERROR(SEARCH("In Danger of Falling Behind Target",E40)))</formula>
    </cfRule>
    <cfRule type="containsText" dxfId="650" priority="827" operator="containsText" text="Not yet due">
      <formula>NOT(ISERROR(SEARCH("Not yet due",E40)))</formula>
    </cfRule>
    <cfRule type="containsText" dxfId="649" priority="828" operator="containsText" text="Update not Provided">
      <formula>NOT(ISERROR(SEARCH("Update not Provided",E40)))</formula>
    </cfRule>
  </conditionalFormatting>
  <conditionalFormatting sqref="E45:E46">
    <cfRule type="containsText" dxfId="648" priority="757" operator="containsText" text="On track to be achieved">
      <formula>NOT(ISERROR(SEARCH("On track to be achieved",E45)))</formula>
    </cfRule>
    <cfRule type="containsText" dxfId="647" priority="758" operator="containsText" text="Deferred">
      <formula>NOT(ISERROR(SEARCH("Deferred",E45)))</formula>
    </cfRule>
    <cfRule type="containsText" dxfId="646" priority="759" operator="containsText" text="Deleted">
      <formula>NOT(ISERROR(SEARCH("Deleted",E45)))</formula>
    </cfRule>
    <cfRule type="containsText" dxfId="645" priority="760" operator="containsText" text="In Danger of Falling Behind Target">
      <formula>NOT(ISERROR(SEARCH("In Danger of Falling Behind Target",E45)))</formula>
    </cfRule>
    <cfRule type="containsText" dxfId="644" priority="761" operator="containsText" text="Not yet due">
      <formula>NOT(ISERROR(SEARCH("Not yet due",E45)))</formula>
    </cfRule>
    <cfRule type="containsText" dxfId="643" priority="762" operator="containsText" text="Update not Provided">
      <formula>NOT(ISERROR(SEARCH("Update not Provided",E45)))</formula>
    </cfRule>
    <cfRule type="containsText" dxfId="642" priority="763" operator="containsText" text="Not yet due">
      <formula>NOT(ISERROR(SEARCH("Not yet due",E45)))</formula>
    </cfRule>
    <cfRule type="containsText" dxfId="641" priority="764" operator="containsText" text="Completed Behind Schedule">
      <formula>NOT(ISERROR(SEARCH("Completed Behind Schedule",E45)))</formula>
    </cfRule>
    <cfRule type="containsText" dxfId="640" priority="765" operator="containsText" text="Off Target">
      <formula>NOT(ISERROR(SEARCH("Off Target",E45)))</formula>
    </cfRule>
    <cfRule type="containsText" dxfId="639" priority="766" operator="containsText" text="On Track to be Achieved">
      <formula>NOT(ISERROR(SEARCH("On Track to be Achieved",E45)))</formula>
    </cfRule>
    <cfRule type="containsText" dxfId="638" priority="767" operator="containsText" text="Fully Achieved">
      <formula>NOT(ISERROR(SEARCH("Fully Achieved",E45)))</formula>
    </cfRule>
    <cfRule type="containsText" dxfId="637" priority="768" operator="containsText" text="Not yet due">
      <formula>NOT(ISERROR(SEARCH("Not yet due",E45)))</formula>
    </cfRule>
    <cfRule type="containsText" dxfId="636" priority="769" operator="containsText" text="Not Yet Due">
      <formula>NOT(ISERROR(SEARCH("Not Yet Due",E45)))</formula>
    </cfRule>
    <cfRule type="containsText" dxfId="635" priority="770" operator="containsText" text="Deferred">
      <formula>NOT(ISERROR(SEARCH("Deferred",E45)))</formula>
    </cfRule>
    <cfRule type="containsText" dxfId="634" priority="771" operator="containsText" text="Deleted">
      <formula>NOT(ISERROR(SEARCH("Deleted",E45)))</formula>
    </cfRule>
    <cfRule type="containsText" dxfId="633" priority="772" operator="containsText" text="In Danger of Falling Behind Target">
      <formula>NOT(ISERROR(SEARCH("In Danger of Falling Behind Target",E45)))</formula>
    </cfRule>
    <cfRule type="containsText" dxfId="632" priority="773" operator="containsText" text="Not yet due">
      <formula>NOT(ISERROR(SEARCH("Not yet due",E45)))</formula>
    </cfRule>
    <cfRule type="containsText" dxfId="631" priority="774" operator="containsText" text="Completed Behind Schedule">
      <formula>NOT(ISERROR(SEARCH("Completed Behind Schedule",E45)))</formula>
    </cfRule>
    <cfRule type="containsText" dxfId="630" priority="775" operator="containsText" text="Off Target">
      <formula>NOT(ISERROR(SEARCH("Off Target",E45)))</formula>
    </cfRule>
    <cfRule type="containsText" dxfId="629" priority="776" operator="containsText" text="In Danger of Falling Behind Target">
      <formula>NOT(ISERROR(SEARCH("In Danger of Falling Behind Target",E45)))</formula>
    </cfRule>
    <cfRule type="containsText" dxfId="628" priority="777" operator="containsText" text="On Track to be Achieved">
      <formula>NOT(ISERROR(SEARCH("On Track to be Achieved",E45)))</formula>
    </cfRule>
    <cfRule type="containsText" dxfId="627" priority="778" operator="containsText" text="Fully Achieved">
      <formula>NOT(ISERROR(SEARCH("Fully Achieved",E45)))</formula>
    </cfRule>
    <cfRule type="containsText" dxfId="626" priority="779" operator="containsText" text="Update not Provided">
      <formula>NOT(ISERROR(SEARCH("Update not Provided",E45)))</formula>
    </cfRule>
    <cfRule type="containsText" dxfId="625" priority="780" operator="containsText" text="Not yet due">
      <formula>NOT(ISERROR(SEARCH("Not yet due",E45)))</formula>
    </cfRule>
    <cfRule type="containsText" dxfId="624" priority="781" operator="containsText" text="Completed Behind Schedule">
      <formula>NOT(ISERROR(SEARCH("Completed Behind Schedule",E45)))</formula>
    </cfRule>
    <cfRule type="containsText" dxfId="623" priority="782" operator="containsText" text="Off Target">
      <formula>NOT(ISERROR(SEARCH("Off Target",E45)))</formula>
    </cfRule>
    <cfRule type="containsText" dxfId="622" priority="783" operator="containsText" text="In Danger of Falling Behind Target">
      <formula>NOT(ISERROR(SEARCH("In Danger of Falling Behind Target",E45)))</formula>
    </cfRule>
    <cfRule type="containsText" dxfId="621" priority="784" operator="containsText" text="On Track to be Achieved">
      <formula>NOT(ISERROR(SEARCH("On Track to be Achieved",E45)))</formula>
    </cfRule>
    <cfRule type="containsText" dxfId="620" priority="785" operator="containsText" text="Fully Achieved">
      <formula>NOT(ISERROR(SEARCH("Fully Achieved",E45)))</formula>
    </cfRule>
    <cfRule type="containsText" dxfId="619" priority="786" operator="containsText" text="Fully Achieved">
      <formula>NOT(ISERROR(SEARCH("Fully Achieved",E45)))</formula>
    </cfRule>
    <cfRule type="containsText" dxfId="618" priority="787" operator="containsText" text="Fully Achieved">
      <formula>NOT(ISERROR(SEARCH("Fully Achieved",E45)))</formula>
    </cfRule>
    <cfRule type="containsText" dxfId="617" priority="788" operator="containsText" text="Deferred">
      <formula>NOT(ISERROR(SEARCH("Deferred",E45)))</formula>
    </cfRule>
    <cfRule type="containsText" dxfId="616" priority="789" operator="containsText" text="Deleted">
      <formula>NOT(ISERROR(SEARCH("Deleted",E45)))</formula>
    </cfRule>
    <cfRule type="containsText" dxfId="615" priority="790" operator="containsText" text="In Danger of Falling Behind Target">
      <formula>NOT(ISERROR(SEARCH("In Danger of Falling Behind Target",E45)))</formula>
    </cfRule>
    <cfRule type="containsText" dxfId="614" priority="791" operator="containsText" text="Not yet due">
      <formula>NOT(ISERROR(SEARCH("Not yet due",E45)))</formula>
    </cfRule>
    <cfRule type="containsText" dxfId="613" priority="792" operator="containsText" text="Update not Provided">
      <formula>NOT(ISERROR(SEARCH("Update not Provided",E45)))</formula>
    </cfRule>
  </conditionalFormatting>
  <conditionalFormatting sqref="E47:E50">
    <cfRule type="containsText" dxfId="612" priority="721" operator="containsText" text="On track to be achieved">
      <formula>NOT(ISERROR(SEARCH("On track to be achieved",E47)))</formula>
    </cfRule>
    <cfRule type="containsText" dxfId="611" priority="722" operator="containsText" text="Deferred">
      <formula>NOT(ISERROR(SEARCH("Deferred",E47)))</formula>
    </cfRule>
    <cfRule type="containsText" dxfId="610" priority="723" operator="containsText" text="Deleted">
      <formula>NOT(ISERROR(SEARCH("Deleted",E47)))</formula>
    </cfRule>
    <cfRule type="containsText" dxfId="609" priority="724" operator="containsText" text="In Danger of Falling Behind Target">
      <formula>NOT(ISERROR(SEARCH("In Danger of Falling Behind Target",E47)))</formula>
    </cfRule>
    <cfRule type="containsText" dxfId="608" priority="725" operator="containsText" text="Not yet due">
      <formula>NOT(ISERROR(SEARCH("Not yet due",E47)))</formula>
    </cfRule>
    <cfRule type="containsText" dxfId="607" priority="726" operator="containsText" text="Update not Provided">
      <formula>NOT(ISERROR(SEARCH("Update not Provided",E47)))</formula>
    </cfRule>
    <cfRule type="containsText" dxfId="606" priority="727" operator="containsText" text="Not yet due">
      <formula>NOT(ISERROR(SEARCH("Not yet due",E47)))</formula>
    </cfRule>
    <cfRule type="containsText" dxfId="605" priority="728" operator="containsText" text="Completed Behind Schedule">
      <formula>NOT(ISERROR(SEARCH("Completed Behind Schedule",E47)))</formula>
    </cfRule>
    <cfRule type="containsText" dxfId="604" priority="729" operator="containsText" text="Off Target">
      <formula>NOT(ISERROR(SEARCH("Off Target",E47)))</formula>
    </cfRule>
    <cfRule type="containsText" dxfId="603" priority="730" operator="containsText" text="On Track to be Achieved">
      <formula>NOT(ISERROR(SEARCH("On Track to be Achieved",E47)))</formula>
    </cfRule>
    <cfRule type="containsText" dxfId="602" priority="731" operator="containsText" text="Fully Achieved">
      <formula>NOT(ISERROR(SEARCH("Fully Achieved",E47)))</formula>
    </cfRule>
    <cfRule type="containsText" dxfId="601" priority="732" operator="containsText" text="Not yet due">
      <formula>NOT(ISERROR(SEARCH("Not yet due",E47)))</formula>
    </cfRule>
    <cfRule type="containsText" dxfId="600" priority="733" operator="containsText" text="Not Yet Due">
      <formula>NOT(ISERROR(SEARCH("Not Yet Due",E47)))</formula>
    </cfRule>
    <cfRule type="containsText" dxfId="599" priority="734" operator="containsText" text="Deferred">
      <formula>NOT(ISERROR(SEARCH("Deferred",E47)))</formula>
    </cfRule>
    <cfRule type="containsText" dxfId="598" priority="735" operator="containsText" text="Deleted">
      <formula>NOT(ISERROR(SEARCH("Deleted",E47)))</formula>
    </cfRule>
    <cfRule type="containsText" dxfId="597" priority="736" operator="containsText" text="In Danger of Falling Behind Target">
      <formula>NOT(ISERROR(SEARCH("In Danger of Falling Behind Target",E47)))</formula>
    </cfRule>
    <cfRule type="containsText" dxfId="596" priority="737" operator="containsText" text="Not yet due">
      <formula>NOT(ISERROR(SEARCH("Not yet due",E47)))</formula>
    </cfRule>
    <cfRule type="containsText" dxfId="595" priority="738" operator="containsText" text="Completed Behind Schedule">
      <formula>NOT(ISERROR(SEARCH("Completed Behind Schedule",E47)))</formula>
    </cfRule>
    <cfRule type="containsText" dxfId="594" priority="739" operator="containsText" text="Off Target">
      <formula>NOT(ISERROR(SEARCH("Off Target",E47)))</formula>
    </cfRule>
    <cfRule type="containsText" dxfId="593" priority="740" operator="containsText" text="In Danger of Falling Behind Target">
      <formula>NOT(ISERROR(SEARCH("In Danger of Falling Behind Target",E47)))</formula>
    </cfRule>
    <cfRule type="containsText" dxfId="592" priority="741" operator="containsText" text="On Track to be Achieved">
      <formula>NOT(ISERROR(SEARCH("On Track to be Achieved",E47)))</formula>
    </cfRule>
    <cfRule type="containsText" dxfId="591" priority="742" operator="containsText" text="Fully Achieved">
      <formula>NOT(ISERROR(SEARCH("Fully Achieved",E47)))</formula>
    </cfRule>
    <cfRule type="containsText" dxfId="590" priority="743" operator="containsText" text="Update not Provided">
      <formula>NOT(ISERROR(SEARCH("Update not Provided",E47)))</formula>
    </cfRule>
    <cfRule type="containsText" dxfId="589" priority="744" operator="containsText" text="Not yet due">
      <formula>NOT(ISERROR(SEARCH("Not yet due",E47)))</formula>
    </cfRule>
    <cfRule type="containsText" dxfId="588" priority="745" operator="containsText" text="Completed Behind Schedule">
      <formula>NOT(ISERROR(SEARCH("Completed Behind Schedule",E47)))</formula>
    </cfRule>
    <cfRule type="containsText" dxfId="587" priority="746" operator="containsText" text="Off Target">
      <formula>NOT(ISERROR(SEARCH("Off Target",E47)))</formula>
    </cfRule>
    <cfRule type="containsText" dxfId="586" priority="747" operator="containsText" text="In Danger of Falling Behind Target">
      <formula>NOT(ISERROR(SEARCH("In Danger of Falling Behind Target",E47)))</formula>
    </cfRule>
    <cfRule type="containsText" dxfId="585" priority="748" operator="containsText" text="On Track to be Achieved">
      <formula>NOT(ISERROR(SEARCH("On Track to be Achieved",E47)))</formula>
    </cfRule>
    <cfRule type="containsText" dxfId="584" priority="749" operator="containsText" text="Fully Achieved">
      <formula>NOT(ISERROR(SEARCH("Fully Achieved",E47)))</formula>
    </cfRule>
    <cfRule type="containsText" dxfId="583" priority="750" operator="containsText" text="Fully Achieved">
      <formula>NOT(ISERROR(SEARCH("Fully Achieved",E47)))</formula>
    </cfRule>
    <cfRule type="containsText" dxfId="582" priority="751" operator="containsText" text="Fully Achieved">
      <formula>NOT(ISERROR(SEARCH("Fully Achieved",E47)))</formula>
    </cfRule>
    <cfRule type="containsText" dxfId="581" priority="752" operator="containsText" text="Deferred">
      <formula>NOT(ISERROR(SEARCH("Deferred",E47)))</formula>
    </cfRule>
    <cfRule type="containsText" dxfId="580" priority="753" operator="containsText" text="Deleted">
      <formula>NOT(ISERROR(SEARCH("Deleted",E47)))</formula>
    </cfRule>
    <cfRule type="containsText" dxfId="579" priority="754" operator="containsText" text="In Danger of Falling Behind Target">
      <formula>NOT(ISERROR(SEARCH("In Danger of Falling Behind Target",E47)))</formula>
    </cfRule>
    <cfRule type="containsText" dxfId="578" priority="755" operator="containsText" text="Not yet due">
      <formula>NOT(ISERROR(SEARCH("Not yet due",E47)))</formula>
    </cfRule>
    <cfRule type="containsText" dxfId="577" priority="756" operator="containsText" text="Update not Provided">
      <formula>NOT(ISERROR(SEARCH("Update not Provided",E47)))</formula>
    </cfRule>
  </conditionalFormatting>
  <conditionalFormatting sqref="E53">
    <cfRule type="containsText" dxfId="576" priority="685" operator="containsText" text="On track to be achieved">
      <formula>NOT(ISERROR(SEARCH("On track to be achieved",E53)))</formula>
    </cfRule>
    <cfRule type="containsText" dxfId="575" priority="686" operator="containsText" text="Deferred">
      <formula>NOT(ISERROR(SEARCH("Deferred",E53)))</formula>
    </cfRule>
    <cfRule type="containsText" dxfId="574" priority="687" operator="containsText" text="Deleted">
      <formula>NOT(ISERROR(SEARCH("Deleted",E53)))</formula>
    </cfRule>
    <cfRule type="containsText" dxfId="573" priority="688" operator="containsText" text="In Danger of Falling Behind Target">
      <formula>NOT(ISERROR(SEARCH("In Danger of Falling Behind Target",E53)))</formula>
    </cfRule>
    <cfRule type="containsText" dxfId="572" priority="689" operator="containsText" text="Not yet due">
      <formula>NOT(ISERROR(SEARCH("Not yet due",E53)))</formula>
    </cfRule>
    <cfRule type="containsText" dxfId="571" priority="690" operator="containsText" text="Update not Provided">
      <formula>NOT(ISERROR(SEARCH("Update not Provided",E53)))</formula>
    </cfRule>
    <cfRule type="containsText" dxfId="570" priority="691" operator="containsText" text="Not yet due">
      <formula>NOT(ISERROR(SEARCH("Not yet due",E53)))</formula>
    </cfRule>
    <cfRule type="containsText" dxfId="569" priority="692" operator="containsText" text="Completed Behind Schedule">
      <formula>NOT(ISERROR(SEARCH("Completed Behind Schedule",E53)))</formula>
    </cfRule>
    <cfRule type="containsText" dxfId="568" priority="693" operator="containsText" text="Off Target">
      <formula>NOT(ISERROR(SEARCH("Off Target",E53)))</formula>
    </cfRule>
    <cfRule type="containsText" dxfId="567" priority="694" operator="containsText" text="On Track to be Achieved">
      <formula>NOT(ISERROR(SEARCH("On Track to be Achieved",E53)))</formula>
    </cfRule>
    <cfRule type="containsText" dxfId="566" priority="695" operator="containsText" text="Fully Achieved">
      <formula>NOT(ISERROR(SEARCH("Fully Achieved",E53)))</formula>
    </cfRule>
    <cfRule type="containsText" dxfId="565" priority="696" operator="containsText" text="Not yet due">
      <formula>NOT(ISERROR(SEARCH("Not yet due",E53)))</formula>
    </cfRule>
    <cfRule type="containsText" dxfId="564" priority="697" operator="containsText" text="Not Yet Due">
      <formula>NOT(ISERROR(SEARCH("Not Yet Due",E53)))</formula>
    </cfRule>
    <cfRule type="containsText" dxfId="563" priority="698" operator="containsText" text="Deferred">
      <formula>NOT(ISERROR(SEARCH("Deferred",E53)))</formula>
    </cfRule>
    <cfRule type="containsText" dxfId="562" priority="699" operator="containsText" text="Deleted">
      <formula>NOT(ISERROR(SEARCH("Deleted",E53)))</formula>
    </cfRule>
    <cfRule type="containsText" dxfId="561" priority="700" operator="containsText" text="In Danger of Falling Behind Target">
      <formula>NOT(ISERROR(SEARCH("In Danger of Falling Behind Target",E53)))</formula>
    </cfRule>
    <cfRule type="containsText" dxfId="560" priority="701" operator="containsText" text="Not yet due">
      <formula>NOT(ISERROR(SEARCH("Not yet due",E53)))</formula>
    </cfRule>
    <cfRule type="containsText" dxfId="559" priority="702" operator="containsText" text="Completed Behind Schedule">
      <formula>NOT(ISERROR(SEARCH("Completed Behind Schedule",E53)))</formula>
    </cfRule>
    <cfRule type="containsText" dxfId="558" priority="703" operator="containsText" text="Off Target">
      <formula>NOT(ISERROR(SEARCH("Off Target",E53)))</formula>
    </cfRule>
    <cfRule type="containsText" dxfId="557" priority="704" operator="containsText" text="In Danger of Falling Behind Target">
      <formula>NOT(ISERROR(SEARCH("In Danger of Falling Behind Target",E53)))</formula>
    </cfRule>
    <cfRule type="containsText" dxfId="556" priority="705" operator="containsText" text="On Track to be Achieved">
      <formula>NOT(ISERROR(SEARCH("On Track to be Achieved",E53)))</formula>
    </cfRule>
    <cfRule type="containsText" dxfId="555" priority="706" operator="containsText" text="Fully Achieved">
      <formula>NOT(ISERROR(SEARCH("Fully Achieved",E53)))</formula>
    </cfRule>
    <cfRule type="containsText" dxfId="554" priority="707" operator="containsText" text="Update not Provided">
      <formula>NOT(ISERROR(SEARCH("Update not Provided",E53)))</formula>
    </cfRule>
    <cfRule type="containsText" dxfId="553" priority="708" operator="containsText" text="Not yet due">
      <formula>NOT(ISERROR(SEARCH("Not yet due",E53)))</formula>
    </cfRule>
    <cfRule type="containsText" dxfId="552" priority="709" operator="containsText" text="Completed Behind Schedule">
      <formula>NOT(ISERROR(SEARCH("Completed Behind Schedule",E53)))</formula>
    </cfRule>
    <cfRule type="containsText" dxfId="551" priority="710" operator="containsText" text="Off Target">
      <formula>NOT(ISERROR(SEARCH("Off Target",E53)))</formula>
    </cfRule>
    <cfRule type="containsText" dxfId="550" priority="711" operator="containsText" text="In Danger of Falling Behind Target">
      <formula>NOT(ISERROR(SEARCH("In Danger of Falling Behind Target",E53)))</formula>
    </cfRule>
    <cfRule type="containsText" dxfId="549" priority="712" operator="containsText" text="On Track to be Achieved">
      <formula>NOT(ISERROR(SEARCH("On Track to be Achieved",E53)))</formula>
    </cfRule>
    <cfRule type="containsText" dxfId="548" priority="713" operator="containsText" text="Fully Achieved">
      <formula>NOT(ISERROR(SEARCH("Fully Achieved",E53)))</formula>
    </cfRule>
    <cfRule type="containsText" dxfId="547" priority="714" operator="containsText" text="Fully Achieved">
      <formula>NOT(ISERROR(SEARCH("Fully Achieved",E53)))</formula>
    </cfRule>
    <cfRule type="containsText" dxfId="546" priority="715" operator="containsText" text="Fully Achieved">
      <formula>NOT(ISERROR(SEARCH("Fully Achieved",E53)))</formula>
    </cfRule>
    <cfRule type="containsText" dxfId="545" priority="716" operator="containsText" text="Deferred">
      <formula>NOT(ISERROR(SEARCH("Deferred",E53)))</formula>
    </cfRule>
    <cfRule type="containsText" dxfId="544" priority="717" operator="containsText" text="Deleted">
      <formula>NOT(ISERROR(SEARCH("Deleted",E53)))</formula>
    </cfRule>
    <cfRule type="containsText" dxfId="543" priority="718" operator="containsText" text="In Danger of Falling Behind Target">
      <formula>NOT(ISERROR(SEARCH("In Danger of Falling Behind Target",E53)))</formula>
    </cfRule>
    <cfRule type="containsText" dxfId="542" priority="719" operator="containsText" text="Not yet due">
      <formula>NOT(ISERROR(SEARCH("Not yet due",E53)))</formula>
    </cfRule>
    <cfRule type="containsText" dxfId="541" priority="720" operator="containsText" text="Update not Provided">
      <formula>NOT(ISERROR(SEARCH("Update not Provided",E53)))</formula>
    </cfRule>
  </conditionalFormatting>
  <conditionalFormatting sqref="E55:E56">
    <cfRule type="containsText" dxfId="540" priority="649" operator="containsText" text="On track to be achieved">
      <formula>NOT(ISERROR(SEARCH("On track to be achieved",E55)))</formula>
    </cfRule>
    <cfRule type="containsText" dxfId="539" priority="650" operator="containsText" text="Deferred">
      <formula>NOT(ISERROR(SEARCH("Deferred",E55)))</formula>
    </cfRule>
    <cfRule type="containsText" dxfId="538" priority="651" operator="containsText" text="Deleted">
      <formula>NOT(ISERROR(SEARCH("Deleted",E55)))</formula>
    </cfRule>
    <cfRule type="containsText" dxfId="537" priority="652" operator="containsText" text="In Danger of Falling Behind Target">
      <formula>NOT(ISERROR(SEARCH("In Danger of Falling Behind Target",E55)))</formula>
    </cfRule>
    <cfRule type="containsText" dxfId="536" priority="653" operator="containsText" text="Not yet due">
      <formula>NOT(ISERROR(SEARCH("Not yet due",E55)))</formula>
    </cfRule>
    <cfRule type="containsText" dxfId="535" priority="654" operator="containsText" text="Update not Provided">
      <formula>NOT(ISERROR(SEARCH("Update not Provided",E55)))</formula>
    </cfRule>
    <cfRule type="containsText" dxfId="534" priority="655" operator="containsText" text="Not yet due">
      <formula>NOT(ISERROR(SEARCH("Not yet due",E55)))</formula>
    </cfRule>
    <cfRule type="containsText" dxfId="533" priority="656" operator="containsText" text="Completed Behind Schedule">
      <formula>NOT(ISERROR(SEARCH("Completed Behind Schedule",E55)))</formula>
    </cfRule>
    <cfRule type="containsText" dxfId="532" priority="657" operator="containsText" text="Off Target">
      <formula>NOT(ISERROR(SEARCH("Off Target",E55)))</formula>
    </cfRule>
    <cfRule type="containsText" dxfId="531" priority="658" operator="containsText" text="On Track to be Achieved">
      <formula>NOT(ISERROR(SEARCH("On Track to be Achieved",E55)))</formula>
    </cfRule>
    <cfRule type="containsText" dxfId="530" priority="659" operator="containsText" text="Fully Achieved">
      <formula>NOT(ISERROR(SEARCH("Fully Achieved",E55)))</formula>
    </cfRule>
    <cfRule type="containsText" dxfId="529" priority="660" operator="containsText" text="Not yet due">
      <formula>NOT(ISERROR(SEARCH("Not yet due",E55)))</formula>
    </cfRule>
    <cfRule type="containsText" dxfId="528" priority="661" operator="containsText" text="Not Yet Due">
      <formula>NOT(ISERROR(SEARCH("Not Yet Due",E55)))</formula>
    </cfRule>
    <cfRule type="containsText" dxfId="527" priority="662" operator="containsText" text="Deferred">
      <formula>NOT(ISERROR(SEARCH("Deferred",E55)))</formula>
    </cfRule>
    <cfRule type="containsText" dxfId="526" priority="663" operator="containsText" text="Deleted">
      <formula>NOT(ISERROR(SEARCH("Deleted",E55)))</formula>
    </cfRule>
    <cfRule type="containsText" dxfId="525" priority="664" operator="containsText" text="In Danger of Falling Behind Target">
      <formula>NOT(ISERROR(SEARCH("In Danger of Falling Behind Target",E55)))</formula>
    </cfRule>
    <cfRule type="containsText" dxfId="524" priority="665" operator="containsText" text="Not yet due">
      <formula>NOT(ISERROR(SEARCH("Not yet due",E55)))</formula>
    </cfRule>
    <cfRule type="containsText" dxfId="523" priority="666" operator="containsText" text="Completed Behind Schedule">
      <formula>NOT(ISERROR(SEARCH("Completed Behind Schedule",E55)))</formula>
    </cfRule>
    <cfRule type="containsText" dxfId="522" priority="667" operator="containsText" text="Off Target">
      <formula>NOT(ISERROR(SEARCH("Off Target",E55)))</formula>
    </cfRule>
    <cfRule type="containsText" dxfId="521" priority="668" operator="containsText" text="In Danger of Falling Behind Target">
      <formula>NOT(ISERROR(SEARCH("In Danger of Falling Behind Target",E55)))</formula>
    </cfRule>
    <cfRule type="containsText" dxfId="520" priority="669" operator="containsText" text="On Track to be Achieved">
      <formula>NOT(ISERROR(SEARCH("On Track to be Achieved",E55)))</formula>
    </cfRule>
    <cfRule type="containsText" dxfId="519" priority="670" operator="containsText" text="Fully Achieved">
      <formula>NOT(ISERROR(SEARCH("Fully Achieved",E55)))</formula>
    </cfRule>
    <cfRule type="containsText" dxfId="518" priority="671" operator="containsText" text="Update not Provided">
      <formula>NOT(ISERROR(SEARCH("Update not Provided",E55)))</formula>
    </cfRule>
    <cfRule type="containsText" dxfId="517" priority="672" operator="containsText" text="Not yet due">
      <formula>NOT(ISERROR(SEARCH("Not yet due",E55)))</formula>
    </cfRule>
    <cfRule type="containsText" dxfId="516" priority="673" operator="containsText" text="Completed Behind Schedule">
      <formula>NOT(ISERROR(SEARCH("Completed Behind Schedule",E55)))</formula>
    </cfRule>
    <cfRule type="containsText" dxfId="515" priority="674" operator="containsText" text="Off Target">
      <formula>NOT(ISERROR(SEARCH("Off Target",E55)))</formula>
    </cfRule>
    <cfRule type="containsText" dxfId="514" priority="675" operator="containsText" text="In Danger of Falling Behind Target">
      <formula>NOT(ISERROR(SEARCH("In Danger of Falling Behind Target",E55)))</formula>
    </cfRule>
    <cfRule type="containsText" dxfId="513" priority="676" operator="containsText" text="On Track to be Achieved">
      <formula>NOT(ISERROR(SEARCH("On Track to be Achieved",E55)))</formula>
    </cfRule>
    <cfRule type="containsText" dxfId="512" priority="677" operator="containsText" text="Fully Achieved">
      <formula>NOT(ISERROR(SEARCH("Fully Achieved",E55)))</formula>
    </cfRule>
    <cfRule type="containsText" dxfId="511" priority="678" operator="containsText" text="Fully Achieved">
      <formula>NOT(ISERROR(SEARCH("Fully Achieved",E55)))</formula>
    </cfRule>
    <cfRule type="containsText" dxfId="510" priority="679" operator="containsText" text="Fully Achieved">
      <formula>NOT(ISERROR(SEARCH("Fully Achieved",E55)))</formula>
    </cfRule>
    <cfRule type="containsText" dxfId="509" priority="680" operator="containsText" text="Deferred">
      <formula>NOT(ISERROR(SEARCH("Deferred",E55)))</formula>
    </cfRule>
    <cfRule type="containsText" dxfId="508" priority="681" operator="containsText" text="Deleted">
      <formula>NOT(ISERROR(SEARCH("Deleted",E55)))</formula>
    </cfRule>
    <cfRule type="containsText" dxfId="507" priority="682" operator="containsText" text="In Danger of Falling Behind Target">
      <formula>NOT(ISERROR(SEARCH("In Danger of Falling Behind Target",E55)))</formula>
    </cfRule>
    <cfRule type="containsText" dxfId="506" priority="683" operator="containsText" text="Not yet due">
      <formula>NOT(ISERROR(SEARCH("Not yet due",E55)))</formula>
    </cfRule>
    <cfRule type="containsText" dxfId="505" priority="684" operator="containsText" text="Update not Provided">
      <formula>NOT(ISERROR(SEARCH("Update not Provided",E55)))</formula>
    </cfRule>
  </conditionalFormatting>
  <conditionalFormatting sqref="E58">
    <cfRule type="containsText" dxfId="504" priority="613" operator="containsText" text="On track to be achieved">
      <formula>NOT(ISERROR(SEARCH("On track to be achieved",E58)))</formula>
    </cfRule>
    <cfRule type="containsText" dxfId="503" priority="614" operator="containsText" text="Deferred">
      <formula>NOT(ISERROR(SEARCH("Deferred",E58)))</formula>
    </cfRule>
    <cfRule type="containsText" dxfId="502" priority="615" operator="containsText" text="Deleted">
      <formula>NOT(ISERROR(SEARCH("Deleted",E58)))</formula>
    </cfRule>
    <cfRule type="containsText" dxfId="501" priority="616" operator="containsText" text="In Danger of Falling Behind Target">
      <formula>NOT(ISERROR(SEARCH("In Danger of Falling Behind Target",E58)))</formula>
    </cfRule>
    <cfRule type="containsText" dxfId="500" priority="617" operator="containsText" text="Not yet due">
      <formula>NOT(ISERROR(SEARCH("Not yet due",E58)))</formula>
    </cfRule>
    <cfRule type="containsText" dxfId="499" priority="618" operator="containsText" text="Update not Provided">
      <formula>NOT(ISERROR(SEARCH("Update not Provided",E58)))</formula>
    </cfRule>
    <cfRule type="containsText" dxfId="498" priority="619" operator="containsText" text="Not yet due">
      <formula>NOT(ISERROR(SEARCH("Not yet due",E58)))</formula>
    </cfRule>
    <cfRule type="containsText" dxfId="497" priority="620" operator="containsText" text="Completed Behind Schedule">
      <formula>NOT(ISERROR(SEARCH("Completed Behind Schedule",E58)))</formula>
    </cfRule>
    <cfRule type="containsText" dxfId="496" priority="621" operator="containsText" text="Off Target">
      <formula>NOT(ISERROR(SEARCH("Off Target",E58)))</formula>
    </cfRule>
    <cfRule type="containsText" dxfId="495" priority="622" operator="containsText" text="On Track to be Achieved">
      <formula>NOT(ISERROR(SEARCH("On Track to be Achieved",E58)))</formula>
    </cfRule>
    <cfRule type="containsText" dxfId="494" priority="623" operator="containsText" text="Fully Achieved">
      <formula>NOT(ISERROR(SEARCH("Fully Achieved",E58)))</formula>
    </cfRule>
    <cfRule type="containsText" dxfId="493" priority="624" operator="containsText" text="Not yet due">
      <formula>NOT(ISERROR(SEARCH("Not yet due",E58)))</formula>
    </cfRule>
    <cfRule type="containsText" dxfId="492" priority="625" operator="containsText" text="Not Yet Due">
      <formula>NOT(ISERROR(SEARCH("Not Yet Due",E58)))</formula>
    </cfRule>
    <cfRule type="containsText" dxfId="491" priority="626" operator="containsText" text="Deferred">
      <formula>NOT(ISERROR(SEARCH("Deferred",E58)))</formula>
    </cfRule>
    <cfRule type="containsText" dxfId="490" priority="627" operator="containsText" text="Deleted">
      <formula>NOT(ISERROR(SEARCH("Deleted",E58)))</formula>
    </cfRule>
    <cfRule type="containsText" dxfId="489" priority="628" operator="containsText" text="In Danger of Falling Behind Target">
      <formula>NOT(ISERROR(SEARCH("In Danger of Falling Behind Target",E58)))</formula>
    </cfRule>
    <cfRule type="containsText" dxfId="488" priority="629" operator="containsText" text="Not yet due">
      <formula>NOT(ISERROR(SEARCH("Not yet due",E58)))</formula>
    </cfRule>
    <cfRule type="containsText" dxfId="487" priority="630" operator="containsText" text="Completed Behind Schedule">
      <formula>NOT(ISERROR(SEARCH("Completed Behind Schedule",E58)))</formula>
    </cfRule>
    <cfRule type="containsText" dxfId="486" priority="631" operator="containsText" text="Off Target">
      <formula>NOT(ISERROR(SEARCH("Off Target",E58)))</formula>
    </cfRule>
    <cfRule type="containsText" dxfId="485" priority="632" operator="containsText" text="In Danger of Falling Behind Target">
      <formula>NOT(ISERROR(SEARCH("In Danger of Falling Behind Target",E58)))</formula>
    </cfRule>
    <cfRule type="containsText" dxfId="484" priority="633" operator="containsText" text="On Track to be Achieved">
      <formula>NOT(ISERROR(SEARCH("On Track to be Achieved",E58)))</formula>
    </cfRule>
    <cfRule type="containsText" dxfId="483" priority="634" operator="containsText" text="Fully Achieved">
      <formula>NOT(ISERROR(SEARCH("Fully Achieved",E58)))</formula>
    </cfRule>
    <cfRule type="containsText" dxfId="482" priority="635" operator="containsText" text="Update not Provided">
      <formula>NOT(ISERROR(SEARCH("Update not Provided",E58)))</formula>
    </cfRule>
    <cfRule type="containsText" dxfId="481" priority="636" operator="containsText" text="Not yet due">
      <formula>NOT(ISERROR(SEARCH("Not yet due",E58)))</formula>
    </cfRule>
    <cfRule type="containsText" dxfId="480" priority="637" operator="containsText" text="Completed Behind Schedule">
      <formula>NOT(ISERROR(SEARCH("Completed Behind Schedule",E58)))</formula>
    </cfRule>
    <cfRule type="containsText" dxfId="479" priority="638" operator="containsText" text="Off Target">
      <formula>NOT(ISERROR(SEARCH("Off Target",E58)))</formula>
    </cfRule>
    <cfRule type="containsText" dxfId="478" priority="639" operator="containsText" text="In Danger of Falling Behind Target">
      <formula>NOT(ISERROR(SEARCH("In Danger of Falling Behind Target",E58)))</formula>
    </cfRule>
    <cfRule type="containsText" dxfId="477" priority="640" operator="containsText" text="On Track to be Achieved">
      <formula>NOT(ISERROR(SEARCH("On Track to be Achieved",E58)))</formula>
    </cfRule>
    <cfRule type="containsText" dxfId="476" priority="641" operator="containsText" text="Fully Achieved">
      <formula>NOT(ISERROR(SEARCH("Fully Achieved",E58)))</formula>
    </cfRule>
    <cfRule type="containsText" dxfId="475" priority="642" operator="containsText" text="Fully Achieved">
      <formula>NOT(ISERROR(SEARCH("Fully Achieved",E58)))</formula>
    </cfRule>
    <cfRule type="containsText" dxfId="474" priority="643" operator="containsText" text="Fully Achieved">
      <formula>NOT(ISERROR(SEARCH("Fully Achieved",E58)))</formula>
    </cfRule>
    <cfRule type="containsText" dxfId="473" priority="644" operator="containsText" text="Deferred">
      <formula>NOT(ISERROR(SEARCH("Deferred",E58)))</formula>
    </cfRule>
    <cfRule type="containsText" dxfId="472" priority="645" operator="containsText" text="Deleted">
      <formula>NOT(ISERROR(SEARCH("Deleted",E58)))</formula>
    </cfRule>
    <cfRule type="containsText" dxfId="471" priority="646" operator="containsText" text="In Danger of Falling Behind Target">
      <formula>NOT(ISERROR(SEARCH("In Danger of Falling Behind Target",E58)))</formula>
    </cfRule>
    <cfRule type="containsText" dxfId="470" priority="647" operator="containsText" text="Not yet due">
      <formula>NOT(ISERROR(SEARCH("Not yet due",E58)))</formula>
    </cfRule>
    <cfRule type="containsText" dxfId="469" priority="648" operator="containsText" text="Update not Provided">
      <formula>NOT(ISERROR(SEARCH("Update not Provided",E58)))</formula>
    </cfRule>
  </conditionalFormatting>
  <conditionalFormatting sqref="E60">
    <cfRule type="containsText" dxfId="468" priority="577" operator="containsText" text="On track to be achieved">
      <formula>NOT(ISERROR(SEARCH("On track to be achieved",E60)))</formula>
    </cfRule>
    <cfRule type="containsText" dxfId="467" priority="578" operator="containsText" text="Deferred">
      <formula>NOT(ISERROR(SEARCH("Deferred",E60)))</formula>
    </cfRule>
    <cfRule type="containsText" dxfId="466" priority="579" operator="containsText" text="Deleted">
      <formula>NOT(ISERROR(SEARCH("Deleted",E60)))</formula>
    </cfRule>
    <cfRule type="containsText" dxfId="465" priority="580" operator="containsText" text="In Danger of Falling Behind Target">
      <formula>NOT(ISERROR(SEARCH("In Danger of Falling Behind Target",E60)))</formula>
    </cfRule>
    <cfRule type="containsText" dxfId="464" priority="581" operator="containsText" text="Not yet due">
      <formula>NOT(ISERROR(SEARCH("Not yet due",E60)))</formula>
    </cfRule>
    <cfRule type="containsText" dxfId="463" priority="582" operator="containsText" text="Update not Provided">
      <formula>NOT(ISERROR(SEARCH("Update not Provided",E60)))</formula>
    </cfRule>
    <cfRule type="containsText" dxfId="462" priority="583" operator="containsText" text="Not yet due">
      <formula>NOT(ISERROR(SEARCH("Not yet due",E60)))</formula>
    </cfRule>
    <cfRule type="containsText" dxfId="461" priority="584" operator="containsText" text="Completed Behind Schedule">
      <formula>NOT(ISERROR(SEARCH("Completed Behind Schedule",E60)))</formula>
    </cfRule>
    <cfRule type="containsText" dxfId="460" priority="585" operator="containsText" text="Off Target">
      <formula>NOT(ISERROR(SEARCH("Off Target",E60)))</formula>
    </cfRule>
    <cfRule type="containsText" dxfId="459" priority="586" operator="containsText" text="On Track to be Achieved">
      <formula>NOT(ISERROR(SEARCH("On Track to be Achieved",E60)))</formula>
    </cfRule>
    <cfRule type="containsText" dxfId="458" priority="587" operator="containsText" text="Fully Achieved">
      <formula>NOT(ISERROR(SEARCH("Fully Achieved",E60)))</formula>
    </cfRule>
    <cfRule type="containsText" dxfId="457" priority="588" operator="containsText" text="Not yet due">
      <formula>NOT(ISERROR(SEARCH("Not yet due",E60)))</formula>
    </cfRule>
    <cfRule type="containsText" dxfId="456" priority="589" operator="containsText" text="Not Yet Due">
      <formula>NOT(ISERROR(SEARCH("Not Yet Due",E60)))</formula>
    </cfRule>
    <cfRule type="containsText" dxfId="455" priority="590" operator="containsText" text="Deferred">
      <formula>NOT(ISERROR(SEARCH("Deferred",E60)))</formula>
    </cfRule>
    <cfRule type="containsText" dxfId="454" priority="591" operator="containsText" text="Deleted">
      <formula>NOT(ISERROR(SEARCH("Deleted",E60)))</formula>
    </cfRule>
    <cfRule type="containsText" dxfId="453" priority="592" operator="containsText" text="In Danger of Falling Behind Target">
      <formula>NOT(ISERROR(SEARCH("In Danger of Falling Behind Target",E60)))</formula>
    </cfRule>
    <cfRule type="containsText" dxfId="452" priority="593" operator="containsText" text="Not yet due">
      <formula>NOT(ISERROR(SEARCH("Not yet due",E60)))</formula>
    </cfRule>
    <cfRule type="containsText" dxfId="451" priority="594" operator="containsText" text="Completed Behind Schedule">
      <formula>NOT(ISERROR(SEARCH("Completed Behind Schedule",E60)))</formula>
    </cfRule>
    <cfRule type="containsText" dxfId="450" priority="595" operator="containsText" text="Off Target">
      <formula>NOT(ISERROR(SEARCH("Off Target",E60)))</formula>
    </cfRule>
    <cfRule type="containsText" dxfId="449" priority="596" operator="containsText" text="In Danger of Falling Behind Target">
      <formula>NOT(ISERROR(SEARCH("In Danger of Falling Behind Target",E60)))</formula>
    </cfRule>
    <cfRule type="containsText" dxfId="448" priority="597" operator="containsText" text="On Track to be Achieved">
      <formula>NOT(ISERROR(SEARCH("On Track to be Achieved",E60)))</formula>
    </cfRule>
    <cfRule type="containsText" dxfId="447" priority="598" operator="containsText" text="Fully Achieved">
      <formula>NOT(ISERROR(SEARCH("Fully Achieved",E60)))</formula>
    </cfRule>
    <cfRule type="containsText" dxfId="446" priority="599" operator="containsText" text="Update not Provided">
      <formula>NOT(ISERROR(SEARCH("Update not Provided",E60)))</formula>
    </cfRule>
    <cfRule type="containsText" dxfId="445" priority="600" operator="containsText" text="Not yet due">
      <formula>NOT(ISERROR(SEARCH("Not yet due",E60)))</formula>
    </cfRule>
    <cfRule type="containsText" dxfId="444" priority="601" operator="containsText" text="Completed Behind Schedule">
      <formula>NOT(ISERROR(SEARCH("Completed Behind Schedule",E60)))</formula>
    </cfRule>
    <cfRule type="containsText" dxfId="443" priority="602" operator="containsText" text="Off Target">
      <formula>NOT(ISERROR(SEARCH("Off Target",E60)))</formula>
    </cfRule>
    <cfRule type="containsText" dxfId="442" priority="603" operator="containsText" text="In Danger of Falling Behind Target">
      <formula>NOT(ISERROR(SEARCH("In Danger of Falling Behind Target",E60)))</formula>
    </cfRule>
    <cfRule type="containsText" dxfId="441" priority="604" operator="containsText" text="On Track to be Achieved">
      <formula>NOT(ISERROR(SEARCH("On Track to be Achieved",E60)))</formula>
    </cfRule>
    <cfRule type="containsText" dxfId="440" priority="605" operator="containsText" text="Fully Achieved">
      <formula>NOT(ISERROR(SEARCH("Fully Achieved",E60)))</formula>
    </cfRule>
    <cfRule type="containsText" dxfId="439" priority="606" operator="containsText" text="Fully Achieved">
      <formula>NOT(ISERROR(SEARCH("Fully Achieved",E60)))</formula>
    </cfRule>
    <cfRule type="containsText" dxfId="438" priority="607" operator="containsText" text="Fully Achieved">
      <formula>NOT(ISERROR(SEARCH("Fully Achieved",E60)))</formula>
    </cfRule>
    <cfRule type="containsText" dxfId="437" priority="608" operator="containsText" text="Deferred">
      <formula>NOT(ISERROR(SEARCH("Deferred",E60)))</formula>
    </cfRule>
    <cfRule type="containsText" dxfId="436" priority="609" operator="containsText" text="Deleted">
      <formula>NOT(ISERROR(SEARCH("Deleted",E60)))</formula>
    </cfRule>
    <cfRule type="containsText" dxfId="435" priority="610" operator="containsText" text="In Danger of Falling Behind Target">
      <formula>NOT(ISERROR(SEARCH("In Danger of Falling Behind Target",E60)))</formula>
    </cfRule>
    <cfRule type="containsText" dxfId="434" priority="611" operator="containsText" text="Not yet due">
      <formula>NOT(ISERROR(SEARCH("Not yet due",E60)))</formula>
    </cfRule>
    <cfRule type="containsText" dxfId="433" priority="612" operator="containsText" text="Update not Provided">
      <formula>NOT(ISERROR(SEARCH("Update not Provided",E60)))</formula>
    </cfRule>
  </conditionalFormatting>
  <conditionalFormatting sqref="E62:E71">
    <cfRule type="containsText" dxfId="432" priority="541" operator="containsText" text="On track to be achieved">
      <formula>NOT(ISERROR(SEARCH("On track to be achieved",E62)))</formula>
    </cfRule>
    <cfRule type="containsText" dxfId="431" priority="542" operator="containsText" text="Deferred">
      <formula>NOT(ISERROR(SEARCH("Deferred",E62)))</formula>
    </cfRule>
    <cfRule type="containsText" dxfId="430" priority="543" operator="containsText" text="Deleted">
      <formula>NOT(ISERROR(SEARCH("Deleted",E62)))</formula>
    </cfRule>
    <cfRule type="containsText" dxfId="429" priority="544" operator="containsText" text="In Danger of Falling Behind Target">
      <formula>NOT(ISERROR(SEARCH("In Danger of Falling Behind Target",E62)))</formula>
    </cfRule>
    <cfRule type="containsText" dxfId="428" priority="545" operator="containsText" text="Not yet due">
      <formula>NOT(ISERROR(SEARCH("Not yet due",E62)))</formula>
    </cfRule>
    <cfRule type="containsText" dxfId="427" priority="546" operator="containsText" text="Update not Provided">
      <formula>NOT(ISERROR(SEARCH("Update not Provided",E62)))</formula>
    </cfRule>
    <cfRule type="containsText" dxfId="426" priority="547" operator="containsText" text="Not yet due">
      <formula>NOT(ISERROR(SEARCH("Not yet due",E62)))</formula>
    </cfRule>
    <cfRule type="containsText" dxfId="425" priority="548" operator="containsText" text="Completed Behind Schedule">
      <formula>NOT(ISERROR(SEARCH("Completed Behind Schedule",E62)))</formula>
    </cfRule>
    <cfRule type="containsText" dxfId="424" priority="549" operator="containsText" text="Off Target">
      <formula>NOT(ISERROR(SEARCH("Off Target",E62)))</formula>
    </cfRule>
    <cfRule type="containsText" dxfId="423" priority="550" operator="containsText" text="On Track to be Achieved">
      <formula>NOT(ISERROR(SEARCH("On Track to be Achieved",E62)))</formula>
    </cfRule>
    <cfRule type="containsText" dxfId="422" priority="551" operator="containsText" text="Fully Achieved">
      <formula>NOT(ISERROR(SEARCH("Fully Achieved",E62)))</formula>
    </cfRule>
    <cfRule type="containsText" dxfId="421" priority="552" operator="containsText" text="Not yet due">
      <formula>NOT(ISERROR(SEARCH("Not yet due",E62)))</formula>
    </cfRule>
    <cfRule type="containsText" dxfId="420" priority="553" operator="containsText" text="Not Yet Due">
      <formula>NOT(ISERROR(SEARCH("Not Yet Due",E62)))</formula>
    </cfRule>
    <cfRule type="containsText" dxfId="419" priority="554" operator="containsText" text="Deferred">
      <formula>NOT(ISERROR(SEARCH("Deferred",E62)))</formula>
    </cfRule>
    <cfRule type="containsText" dxfId="418" priority="555" operator="containsText" text="Deleted">
      <formula>NOT(ISERROR(SEARCH("Deleted",E62)))</formula>
    </cfRule>
    <cfRule type="containsText" dxfId="417" priority="556" operator="containsText" text="In Danger of Falling Behind Target">
      <formula>NOT(ISERROR(SEARCH("In Danger of Falling Behind Target",E62)))</formula>
    </cfRule>
    <cfRule type="containsText" dxfId="416" priority="557" operator="containsText" text="Not yet due">
      <formula>NOT(ISERROR(SEARCH("Not yet due",E62)))</formula>
    </cfRule>
    <cfRule type="containsText" dxfId="415" priority="558" operator="containsText" text="Completed Behind Schedule">
      <formula>NOT(ISERROR(SEARCH("Completed Behind Schedule",E62)))</formula>
    </cfRule>
    <cfRule type="containsText" dxfId="414" priority="559" operator="containsText" text="Off Target">
      <formula>NOT(ISERROR(SEARCH("Off Target",E62)))</formula>
    </cfRule>
    <cfRule type="containsText" dxfId="413" priority="560" operator="containsText" text="In Danger of Falling Behind Target">
      <formula>NOT(ISERROR(SEARCH("In Danger of Falling Behind Target",E62)))</formula>
    </cfRule>
    <cfRule type="containsText" dxfId="412" priority="561" operator="containsText" text="On Track to be Achieved">
      <formula>NOT(ISERROR(SEARCH("On Track to be Achieved",E62)))</formula>
    </cfRule>
    <cfRule type="containsText" dxfId="411" priority="562" operator="containsText" text="Fully Achieved">
      <formula>NOT(ISERROR(SEARCH("Fully Achieved",E62)))</formula>
    </cfRule>
    <cfRule type="containsText" dxfId="410" priority="563" operator="containsText" text="Update not Provided">
      <formula>NOT(ISERROR(SEARCH("Update not Provided",E62)))</formula>
    </cfRule>
    <cfRule type="containsText" dxfId="409" priority="564" operator="containsText" text="Not yet due">
      <formula>NOT(ISERROR(SEARCH("Not yet due",E62)))</formula>
    </cfRule>
    <cfRule type="containsText" dxfId="408" priority="565" operator="containsText" text="Completed Behind Schedule">
      <formula>NOT(ISERROR(SEARCH("Completed Behind Schedule",E62)))</formula>
    </cfRule>
    <cfRule type="containsText" dxfId="407" priority="566" operator="containsText" text="Off Target">
      <formula>NOT(ISERROR(SEARCH("Off Target",E62)))</formula>
    </cfRule>
    <cfRule type="containsText" dxfId="406" priority="567" operator="containsText" text="In Danger of Falling Behind Target">
      <formula>NOT(ISERROR(SEARCH("In Danger of Falling Behind Target",E62)))</formula>
    </cfRule>
    <cfRule type="containsText" dxfId="405" priority="568" operator="containsText" text="On Track to be Achieved">
      <formula>NOT(ISERROR(SEARCH("On Track to be Achieved",E62)))</formula>
    </cfRule>
    <cfRule type="containsText" dxfId="404" priority="569" operator="containsText" text="Fully Achieved">
      <formula>NOT(ISERROR(SEARCH("Fully Achieved",E62)))</formula>
    </cfRule>
    <cfRule type="containsText" dxfId="403" priority="570" operator="containsText" text="Fully Achieved">
      <formula>NOT(ISERROR(SEARCH("Fully Achieved",E62)))</formula>
    </cfRule>
    <cfRule type="containsText" dxfId="402" priority="571" operator="containsText" text="Fully Achieved">
      <formula>NOT(ISERROR(SEARCH("Fully Achieved",E62)))</formula>
    </cfRule>
    <cfRule type="containsText" dxfId="401" priority="572" operator="containsText" text="Deferred">
      <formula>NOT(ISERROR(SEARCH("Deferred",E62)))</formula>
    </cfRule>
    <cfRule type="containsText" dxfId="400" priority="573" operator="containsText" text="Deleted">
      <formula>NOT(ISERROR(SEARCH("Deleted",E62)))</formula>
    </cfRule>
    <cfRule type="containsText" dxfId="399" priority="574" operator="containsText" text="In Danger of Falling Behind Target">
      <formula>NOT(ISERROR(SEARCH("In Danger of Falling Behind Target",E62)))</formula>
    </cfRule>
    <cfRule type="containsText" dxfId="398" priority="575" operator="containsText" text="Not yet due">
      <formula>NOT(ISERROR(SEARCH("Not yet due",E62)))</formula>
    </cfRule>
    <cfRule type="containsText" dxfId="397" priority="576" operator="containsText" text="Update not Provided">
      <formula>NOT(ISERROR(SEARCH("Update not Provided",E62)))</formula>
    </cfRule>
  </conditionalFormatting>
  <conditionalFormatting sqref="E73:E74">
    <cfRule type="containsText" dxfId="396" priority="505" operator="containsText" text="On track to be achieved">
      <formula>NOT(ISERROR(SEARCH("On track to be achieved",E73)))</formula>
    </cfRule>
    <cfRule type="containsText" dxfId="395" priority="506" operator="containsText" text="Deferred">
      <formula>NOT(ISERROR(SEARCH("Deferred",E73)))</formula>
    </cfRule>
    <cfRule type="containsText" dxfId="394" priority="507" operator="containsText" text="Deleted">
      <formula>NOT(ISERROR(SEARCH("Deleted",E73)))</formula>
    </cfRule>
    <cfRule type="containsText" dxfId="393" priority="508" operator="containsText" text="In Danger of Falling Behind Target">
      <formula>NOT(ISERROR(SEARCH("In Danger of Falling Behind Target",E73)))</formula>
    </cfRule>
    <cfRule type="containsText" dxfId="392" priority="509" operator="containsText" text="Not yet due">
      <formula>NOT(ISERROR(SEARCH("Not yet due",E73)))</formula>
    </cfRule>
    <cfRule type="containsText" dxfId="391" priority="510" operator="containsText" text="Update not Provided">
      <formula>NOT(ISERROR(SEARCH("Update not Provided",E73)))</formula>
    </cfRule>
    <cfRule type="containsText" dxfId="390" priority="511" operator="containsText" text="Not yet due">
      <formula>NOT(ISERROR(SEARCH("Not yet due",E73)))</formula>
    </cfRule>
    <cfRule type="containsText" dxfId="389" priority="512" operator="containsText" text="Completed Behind Schedule">
      <formula>NOT(ISERROR(SEARCH("Completed Behind Schedule",E73)))</formula>
    </cfRule>
    <cfRule type="containsText" dxfId="388" priority="513" operator="containsText" text="Off Target">
      <formula>NOT(ISERROR(SEARCH("Off Target",E73)))</formula>
    </cfRule>
    <cfRule type="containsText" dxfId="387" priority="514" operator="containsText" text="On Track to be Achieved">
      <formula>NOT(ISERROR(SEARCH("On Track to be Achieved",E73)))</formula>
    </cfRule>
    <cfRule type="containsText" dxfId="386" priority="515" operator="containsText" text="Fully Achieved">
      <formula>NOT(ISERROR(SEARCH("Fully Achieved",E73)))</formula>
    </cfRule>
    <cfRule type="containsText" dxfId="385" priority="516" operator="containsText" text="Not yet due">
      <formula>NOT(ISERROR(SEARCH("Not yet due",E73)))</formula>
    </cfRule>
    <cfRule type="containsText" dxfId="384" priority="517" operator="containsText" text="Not Yet Due">
      <formula>NOT(ISERROR(SEARCH("Not Yet Due",E73)))</formula>
    </cfRule>
    <cfRule type="containsText" dxfId="383" priority="518" operator="containsText" text="Deferred">
      <formula>NOT(ISERROR(SEARCH("Deferred",E73)))</formula>
    </cfRule>
    <cfRule type="containsText" dxfId="382" priority="519" operator="containsText" text="Deleted">
      <formula>NOT(ISERROR(SEARCH("Deleted",E73)))</formula>
    </cfRule>
    <cfRule type="containsText" dxfId="381" priority="520" operator="containsText" text="In Danger of Falling Behind Target">
      <formula>NOT(ISERROR(SEARCH("In Danger of Falling Behind Target",E73)))</formula>
    </cfRule>
    <cfRule type="containsText" dxfId="380" priority="521" operator="containsText" text="Not yet due">
      <formula>NOT(ISERROR(SEARCH("Not yet due",E73)))</formula>
    </cfRule>
    <cfRule type="containsText" dxfId="379" priority="522" operator="containsText" text="Completed Behind Schedule">
      <formula>NOT(ISERROR(SEARCH("Completed Behind Schedule",E73)))</formula>
    </cfRule>
    <cfRule type="containsText" dxfId="378" priority="523" operator="containsText" text="Off Target">
      <formula>NOT(ISERROR(SEARCH("Off Target",E73)))</formula>
    </cfRule>
    <cfRule type="containsText" dxfId="377" priority="524" operator="containsText" text="In Danger of Falling Behind Target">
      <formula>NOT(ISERROR(SEARCH("In Danger of Falling Behind Target",E73)))</formula>
    </cfRule>
    <cfRule type="containsText" dxfId="376" priority="525" operator="containsText" text="On Track to be Achieved">
      <formula>NOT(ISERROR(SEARCH("On Track to be Achieved",E73)))</formula>
    </cfRule>
    <cfRule type="containsText" dxfId="375" priority="526" operator="containsText" text="Fully Achieved">
      <formula>NOT(ISERROR(SEARCH("Fully Achieved",E73)))</formula>
    </cfRule>
    <cfRule type="containsText" dxfId="374" priority="527" operator="containsText" text="Update not Provided">
      <formula>NOT(ISERROR(SEARCH("Update not Provided",E73)))</formula>
    </cfRule>
    <cfRule type="containsText" dxfId="373" priority="528" operator="containsText" text="Not yet due">
      <formula>NOT(ISERROR(SEARCH("Not yet due",E73)))</formula>
    </cfRule>
    <cfRule type="containsText" dxfId="372" priority="529" operator="containsText" text="Completed Behind Schedule">
      <formula>NOT(ISERROR(SEARCH("Completed Behind Schedule",E73)))</formula>
    </cfRule>
    <cfRule type="containsText" dxfId="371" priority="530" operator="containsText" text="Off Target">
      <formula>NOT(ISERROR(SEARCH("Off Target",E73)))</formula>
    </cfRule>
    <cfRule type="containsText" dxfId="370" priority="531" operator="containsText" text="In Danger of Falling Behind Target">
      <formula>NOT(ISERROR(SEARCH("In Danger of Falling Behind Target",E73)))</formula>
    </cfRule>
    <cfRule type="containsText" dxfId="369" priority="532" operator="containsText" text="On Track to be Achieved">
      <formula>NOT(ISERROR(SEARCH("On Track to be Achieved",E73)))</formula>
    </cfRule>
    <cfRule type="containsText" dxfId="368" priority="533" operator="containsText" text="Fully Achieved">
      <formula>NOT(ISERROR(SEARCH("Fully Achieved",E73)))</formula>
    </cfRule>
    <cfRule type="containsText" dxfId="367" priority="534" operator="containsText" text="Fully Achieved">
      <formula>NOT(ISERROR(SEARCH("Fully Achieved",E73)))</formula>
    </cfRule>
    <cfRule type="containsText" dxfId="366" priority="535" operator="containsText" text="Fully Achieved">
      <formula>NOT(ISERROR(SEARCH("Fully Achieved",E73)))</formula>
    </cfRule>
    <cfRule type="containsText" dxfId="365" priority="536" operator="containsText" text="Deferred">
      <formula>NOT(ISERROR(SEARCH("Deferred",E73)))</formula>
    </cfRule>
    <cfRule type="containsText" dxfId="364" priority="537" operator="containsText" text="Deleted">
      <formula>NOT(ISERROR(SEARCH("Deleted",E73)))</formula>
    </cfRule>
    <cfRule type="containsText" dxfId="363" priority="538" operator="containsText" text="In Danger of Falling Behind Target">
      <formula>NOT(ISERROR(SEARCH("In Danger of Falling Behind Target",E73)))</formula>
    </cfRule>
    <cfRule type="containsText" dxfId="362" priority="539" operator="containsText" text="Not yet due">
      <formula>NOT(ISERROR(SEARCH("Not yet due",E73)))</formula>
    </cfRule>
    <cfRule type="containsText" dxfId="361" priority="540" operator="containsText" text="Update not Provided">
      <formula>NOT(ISERROR(SEARCH("Update not Provided",E73)))</formula>
    </cfRule>
  </conditionalFormatting>
  <conditionalFormatting sqref="E75:E76">
    <cfRule type="containsText" dxfId="360" priority="469" operator="containsText" text="On track to be achieved">
      <formula>NOT(ISERROR(SEARCH("On track to be achieved",E75)))</formula>
    </cfRule>
    <cfRule type="containsText" dxfId="359" priority="470" operator="containsText" text="Deferred">
      <formula>NOT(ISERROR(SEARCH("Deferred",E75)))</formula>
    </cfRule>
    <cfRule type="containsText" dxfId="358" priority="471" operator="containsText" text="Deleted">
      <formula>NOT(ISERROR(SEARCH("Deleted",E75)))</formula>
    </cfRule>
    <cfRule type="containsText" dxfId="357" priority="472" operator="containsText" text="In Danger of Falling Behind Target">
      <formula>NOT(ISERROR(SEARCH("In Danger of Falling Behind Target",E75)))</formula>
    </cfRule>
    <cfRule type="containsText" dxfId="356" priority="473" operator="containsText" text="Not yet due">
      <formula>NOT(ISERROR(SEARCH("Not yet due",E75)))</formula>
    </cfRule>
    <cfRule type="containsText" dxfId="355" priority="474" operator="containsText" text="Update not Provided">
      <formula>NOT(ISERROR(SEARCH("Update not Provided",E75)))</formula>
    </cfRule>
    <cfRule type="containsText" dxfId="354" priority="475" operator="containsText" text="Not yet due">
      <formula>NOT(ISERROR(SEARCH("Not yet due",E75)))</formula>
    </cfRule>
    <cfRule type="containsText" dxfId="353" priority="476" operator="containsText" text="Completed Behind Schedule">
      <formula>NOT(ISERROR(SEARCH("Completed Behind Schedule",E75)))</formula>
    </cfRule>
    <cfRule type="containsText" dxfId="352" priority="477" operator="containsText" text="Off Target">
      <formula>NOT(ISERROR(SEARCH("Off Target",E75)))</formula>
    </cfRule>
    <cfRule type="containsText" dxfId="351" priority="478" operator="containsText" text="On Track to be Achieved">
      <formula>NOT(ISERROR(SEARCH("On Track to be Achieved",E75)))</formula>
    </cfRule>
    <cfRule type="containsText" dxfId="350" priority="479" operator="containsText" text="Fully Achieved">
      <formula>NOT(ISERROR(SEARCH("Fully Achieved",E75)))</formula>
    </cfRule>
    <cfRule type="containsText" dxfId="349" priority="480" operator="containsText" text="Not yet due">
      <formula>NOT(ISERROR(SEARCH("Not yet due",E75)))</formula>
    </cfRule>
    <cfRule type="containsText" dxfId="348" priority="481" operator="containsText" text="Not Yet Due">
      <formula>NOT(ISERROR(SEARCH("Not Yet Due",E75)))</formula>
    </cfRule>
    <cfRule type="containsText" dxfId="347" priority="482" operator="containsText" text="Deferred">
      <formula>NOT(ISERROR(SEARCH("Deferred",E75)))</formula>
    </cfRule>
    <cfRule type="containsText" dxfId="346" priority="483" operator="containsText" text="Deleted">
      <formula>NOT(ISERROR(SEARCH("Deleted",E75)))</formula>
    </cfRule>
    <cfRule type="containsText" dxfId="345" priority="484" operator="containsText" text="In Danger of Falling Behind Target">
      <formula>NOT(ISERROR(SEARCH("In Danger of Falling Behind Target",E75)))</formula>
    </cfRule>
    <cfRule type="containsText" dxfId="344" priority="485" operator="containsText" text="Not yet due">
      <formula>NOT(ISERROR(SEARCH("Not yet due",E75)))</formula>
    </cfRule>
    <cfRule type="containsText" dxfId="343" priority="486" operator="containsText" text="Completed Behind Schedule">
      <formula>NOT(ISERROR(SEARCH("Completed Behind Schedule",E75)))</formula>
    </cfRule>
    <cfRule type="containsText" dxfId="342" priority="487" operator="containsText" text="Off Target">
      <formula>NOT(ISERROR(SEARCH("Off Target",E75)))</formula>
    </cfRule>
    <cfRule type="containsText" dxfId="341" priority="488" operator="containsText" text="In Danger of Falling Behind Target">
      <formula>NOT(ISERROR(SEARCH("In Danger of Falling Behind Target",E75)))</formula>
    </cfRule>
    <cfRule type="containsText" dxfId="340" priority="489" operator="containsText" text="On Track to be Achieved">
      <formula>NOT(ISERROR(SEARCH("On Track to be Achieved",E75)))</formula>
    </cfRule>
    <cfRule type="containsText" dxfId="339" priority="490" operator="containsText" text="Fully Achieved">
      <formula>NOT(ISERROR(SEARCH("Fully Achieved",E75)))</formula>
    </cfRule>
    <cfRule type="containsText" dxfId="338" priority="491" operator="containsText" text="Update not Provided">
      <formula>NOT(ISERROR(SEARCH("Update not Provided",E75)))</formula>
    </cfRule>
    <cfRule type="containsText" dxfId="337" priority="492" operator="containsText" text="Not yet due">
      <formula>NOT(ISERROR(SEARCH("Not yet due",E75)))</formula>
    </cfRule>
    <cfRule type="containsText" dxfId="336" priority="493" operator="containsText" text="Completed Behind Schedule">
      <formula>NOT(ISERROR(SEARCH("Completed Behind Schedule",E75)))</formula>
    </cfRule>
    <cfRule type="containsText" dxfId="335" priority="494" operator="containsText" text="Off Target">
      <formula>NOT(ISERROR(SEARCH("Off Target",E75)))</formula>
    </cfRule>
    <cfRule type="containsText" dxfId="334" priority="495" operator="containsText" text="In Danger of Falling Behind Target">
      <formula>NOT(ISERROR(SEARCH("In Danger of Falling Behind Target",E75)))</formula>
    </cfRule>
    <cfRule type="containsText" dxfId="333" priority="496" operator="containsText" text="On Track to be Achieved">
      <formula>NOT(ISERROR(SEARCH("On Track to be Achieved",E75)))</formula>
    </cfRule>
    <cfRule type="containsText" dxfId="332" priority="497" operator="containsText" text="Fully Achieved">
      <formula>NOT(ISERROR(SEARCH("Fully Achieved",E75)))</formula>
    </cfRule>
    <cfRule type="containsText" dxfId="331" priority="498" operator="containsText" text="Fully Achieved">
      <formula>NOT(ISERROR(SEARCH("Fully Achieved",E75)))</formula>
    </cfRule>
    <cfRule type="containsText" dxfId="330" priority="499" operator="containsText" text="Fully Achieved">
      <formula>NOT(ISERROR(SEARCH("Fully Achieved",E75)))</formula>
    </cfRule>
    <cfRule type="containsText" dxfId="329" priority="500" operator="containsText" text="Deferred">
      <formula>NOT(ISERROR(SEARCH("Deferred",E75)))</formula>
    </cfRule>
    <cfRule type="containsText" dxfId="328" priority="501" operator="containsText" text="Deleted">
      <formula>NOT(ISERROR(SEARCH("Deleted",E75)))</formula>
    </cfRule>
    <cfRule type="containsText" dxfId="327" priority="502" operator="containsText" text="In Danger of Falling Behind Target">
      <formula>NOT(ISERROR(SEARCH("In Danger of Falling Behind Target",E75)))</formula>
    </cfRule>
    <cfRule type="containsText" dxfId="326" priority="503" operator="containsText" text="Not yet due">
      <formula>NOT(ISERROR(SEARCH("Not yet due",E75)))</formula>
    </cfRule>
    <cfRule type="containsText" dxfId="325" priority="504" operator="containsText" text="Update not Provided">
      <formula>NOT(ISERROR(SEARCH("Update not Provided",E75)))</formula>
    </cfRule>
  </conditionalFormatting>
  <conditionalFormatting sqref="E80:E81">
    <cfRule type="containsText" dxfId="324" priority="433" operator="containsText" text="On track to be achieved">
      <formula>NOT(ISERROR(SEARCH("On track to be achieved",E80)))</formula>
    </cfRule>
    <cfRule type="containsText" dxfId="323" priority="434" operator="containsText" text="Deferred">
      <formula>NOT(ISERROR(SEARCH("Deferred",E80)))</formula>
    </cfRule>
    <cfRule type="containsText" dxfId="322" priority="435" operator="containsText" text="Deleted">
      <formula>NOT(ISERROR(SEARCH("Deleted",E80)))</formula>
    </cfRule>
    <cfRule type="containsText" dxfId="321" priority="436" operator="containsText" text="In Danger of Falling Behind Target">
      <formula>NOT(ISERROR(SEARCH("In Danger of Falling Behind Target",E80)))</formula>
    </cfRule>
    <cfRule type="containsText" dxfId="320" priority="437" operator="containsText" text="Not yet due">
      <formula>NOT(ISERROR(SEARCH("Not yet due",E80)))</formula>
    </cfRule>
    <cfRule type="containsText" dxfId="319" priority="438" operator="containsText" text="Update not Provided">
      <formula>NOT(ISERROR(SEARCH("Update not Provided",E80)))</formula>
    </cfRule>
    <cfRule type="containsText" dxfId="318" priority="439" operator="containsText" text="Not yet due">
      <formula>NOT(ISERROR(SEARCH("Not yet due",E80)))</formula>
    </cfRule>
    <cfRule type="containsText" dxfId="317" priority="440" operator="containsText" text="Completed Behind Schedule">
      <formula>NOT(ISERROR(SEARCH("Completed Behind Schedule",E80)))</formula>
    </cfRule>
    <cfRule type="containsText" dxfId="316" priority="441" operator="containsText" text="Off Target">
      <formula>NOT(ISERROR(SEARCH("Off Target",E80)))</formula>
    </cfRule>
    <cfRule type="containsText" dxfId="315" priority="442" operator="containsText" text="On Track to be Achieved">
      <formula>NOT(ISERROR(SEARCH("On Track to be Achieved",E80)))</formula>
    </cfRule>
    <cfRule type="containsText" dxfId="314" priority="443" operator="containsText" text="Fully Achieved">
      <formula>NOT(ISERROR(SEARCH("Fully Achieved",E80)))</formula>
    </cfRule>
    <cfRule type="containsText" dxfId="313" priority="444" operator="containsText" text="Not yet due">
      <formula>NOT(ISERROR(SEARCH("Not yet due",E80)))</formula>
    </cfRule>
    <cfRule type="containsText" dxfId="312" priority="445" operator="containsText" text="Not Yet Due">
      <formula>NOT(ISERROR(SEARCH("Not Yet Due",E80)))</formula>
    </cfRule>
    <cfRule type="containsText" dxfId="311" priority="446" operator="containsText" text="Deferred">
      <formula>NOT(ISERROR(SEARCH("Deferred",E80)))</formula>
    </cfRule>
    <cfRule type="containsText" dxfId="310" priority="447" operator="containsText" text="Deleted">
      <formula>NOT(ISERROR(SEARCH("Deleted",E80)))</formula>
    </cfRule>
    <cfRule type="containsText" dxfId="309" priority="448" operator="containsText" text="In Danger of Falling Behind Target">
      <formula>NOT(ISERROR(SEARCH("In Danger of Falling Behind Target",E80)))</formula>
    </cfRule>
    <cfRule type="containsText" dxfId="308" priority="449" operator="containsText" text="Not yet due">
      <formula>NOT(ISERROR(SEARCH("Not yet due",E80)))</formula>
    </cfRule>
    <cfRule type="containsText" dxfId="307" priority="450" operator="containsText" text="Completed Behind Schedule">
      <formula>NOT(ISERROR(SEARCH("Completed Behind Schedule",E80)))</formula>
    </cfRule>
    <cfRule type="containsText" dxfId="306" priority="451" operator="containsText" text="Off Target">
      <formula>NOT(ISERROR(SEARCH("Off Target",E80)))</formula>
    </cfRule>
    <cfRule type="containsText" dxfId="305" priority="452" operator="containsText" text="In Danger of Falling Behind Target">
      <formula>NOT(ISERROR(SEARCH("In Danger of Falling Behind Target",E80)))</formula>
    </cfRule>
    <cfRule type="containsText" dxfId="304" priority="453" operator="containsText" text="On Track to be Achieved">
      <formula>NOT(ISERROR(SEARCH("On Track to be Achieved",E80)))</formula>
    </cfRule>
    <cfRule type="containsText" dxfId="303" priority="454" operator="containsText" text="Fully Achieved">
      <formula>NOT(ISERROR(SEARCH("Fully Achieved",E80)))</formula>
    </cfRule>
    <cfRule type="containsText" dxfId="302" priority="455" operator="containsText" text="Update not Provided">
      <formula>NOT(ISERROR(SEARCH("Update not Provided",E80)))</formula>
    </cfRule>
    <cfRule type="containsText" dxfId="301" priority="456" operator="containsText" text="Not yet due">
      <formula>NOT(ISERROR(SEARCH("Not yet due",E80)))</formula>
    </cfRule>
    <cfRule type="containsText" dxfId="300" priority="457" operator="containsText" text="Completed Behind Schedule">
      <formula>NOT(ISERROR(SEARCH("Completed Behind Schedule",E80)))</formula>
    </cfRule>
    <cfRule type="containsText" dxfId="299" priority="458" operator="containsText" text="Off Target">
      <formula>NOT(ISERROR(SEARCH("Off Target",E80)))</formula>
    </cfRule>
    <cfRule type="containsText" dxfId="298" priority="459" operator="containsText" text="In Danger of Falling Behind Target">
      <formula>NOT(ISERROR(SEARCH("In Danger of Falling Behind Target",E80)))</formula>
    </cfRule>
    <cfRule type="containsText" dxfId="297" priority="460" operator="containsText" text="On Track to be Achieved">
      <formula>NOT(ISERROR(SEARCH("On Track to be Achieved",E80)))</formula>
    </cfRule>
    <cfRule type="containsText" dxfId="296" priority="461" operator="containsText" text="Fully Achieved">
      <formula>NOT(ISERROR(SEARCH("Fully Achieved",E80)))</formula>
    </cfRule>
    <cfRule type="containsText" dxfId="295" priority="462" operator="containsText" text="Fully Achieved">
      <formula>NOT(ISERROR(SEARCH("Fully Achieved",E80)))</formula>
    </cfRule>
    <cfRule type="containsText" dxfId="294" priority="463" operator="containsText" text="Fully Achieved">
      <formula>NOT(ISERROR(SEARCH("Fully Achieved",E80)))</formula>
    </cfRule>
    <cfRule type="containsText" dxfId="293" priority="464" operator="containsText" text="Deferred">
      <formula>NOT(ISERROR(SEARCH("Deferred",E80)))</formula>
    </cfRule>
    <cfRule type="containsText" dxfId="292" priority="465" operator="containsText" text="Deleted">
      <formula>NOT(ISERROR(SEARCH("Deleted",E80)))</formula>
    </cfRule>
    <cfRule type="containsText" dxfId="291" priority="466" operator="containsText" text="In Danger of Falling Behind Target">
      <formula>NOT(ISERROR(SEARCH("In Danger of Falling Behind Target",E80)))</formula>
    </cfRule>
    <cfRule type="containsText" dxfId="290" priority="467" operator="containsText" text="Not yet due">
      <formula>NOT(ISERROR(SEARCH("Not yet due",E80)))</formula>
    </cfRule>
    <cfRule type="containsText" dxfId="289" priority="468" operator="containsText" text="Update not Provided">
      <formula>NOT(ISERROR(SEARCH("Update not Provided",E80)))</formula>
    </cfRule>
  </conditionalFormatting>
  <conditionalFormatting sqref="E83">
    <cfRule type="containsText" dxfId="288" priority="397" operator="containsText" text="On track to be achieved">
      <formula>NOT(ISERROR(SEARCH("On track to be achieved",E83)))</formula>
    </cfRule>
    <cfRule type="containsText" dxfId="287" priority="398" operator="containsText" text="Deferred">
      <formula>NOT(ISERROR(SEARCH("Deferred",E83)))</formula>
    </cfRule>
    <cfRule type="containsText" dxfId="286" priority="399" operator="containsText" text="Deleted">
      <formula>NOT(ISERROR(SEARCH("Deleted",E83)))</formula>
    </cfRule>
    <cfRule type="containsText" dxfId="285" priority="400" operator="containsText" text="In Danger of Falling Behind Target">
      <formula>NOT(ISERROR(SEARCH("In Danger of Falling Behind Target",E83)))</formula>
    </cfRule>
    <cfRule type="containsText" dxfId="284" priority="401" operator="containsText" text="Not yet due">
      <formula>NOT(ISERROR(SEARCH("Not yet due",E83)))</formula>
    </cfRule>
    <cfRule type="containsText" dxfId="283" priority="402" operator="containsText" text="Update not Provided">
      <formula>NOT(ISERROR(SEARCH("Update not Provided",E83)))</formula>
    </cfRule>
    <cfRule type="containsText" dxfId="282" priority="403" operator="containsText" text="Not yet due">
      <formula>NOT(ISERROR(SEARCH("Not yet due",E83)))</formula>
    </cfRule>
    <cfRule type="containsText" dxfId="281" priority="404" operator="containsText" text="Completed Behind Schedule">
      <formula>NOT(ISERROR(SEARCH("Completed Behind Schedule",E83)))</formula>
    </cfRule>
    <cfRule type="containsText" dxfId="280" priority="405" operator="containsText" text="Off Target">
      <formula>NOT(ISERROR(SEARCH("Off Target",E83)))</formula>
    </cfRule>
    <cfRule type="containsText" dxfId="279" priority="406" operator="containsText" text="On Track to be Achieved">
      <formula>NOT(ISERROR(SEARCH("On Track to be Achieved",E83)))</formula>
    </cfRule>
    <cfRule type="containsText" dxfId="278" priority="407" operator="containsText" text="Fully Achieved">
      <formula>NOT(ISERROR(SEARCH("Fully Achieved",E83)))</formula>
    </cfRule>
    <cfRule type="containsText" dxfId="277" priority="408" operator="containsText" text="Not yet due">
      <formula>NOT(ISERROR(SEARCH("Not yet due",E83)))</formula>
    </cfRule>
    <cfRule type="containsText" dxfId="276" priority="409" operator="containsText" text="Not Yet Due">
      <formula>NOT(ISERROR(SEARCH("Not Yet Due",E83)))</formula>
    </cfRule>
    <cfRule type="containsText" dxfId="275" priority="410" operator="containsText" text="Deferred">
      <formula>NOT(ISERROR(SEARCH("Deferred",E83)))</formula>
    </cfRule>
    <cfRule type="containsText" dxfId="274" priority="411" operator="containsText" text="Deleted">
      <formula>NOT(ISERROR(SEARCH("Deleted",E83)))</formula>
    </cfRule>
    <cfRule type="containsText" dxfId="273" priority="412" operator="containsText" text="In Danger of Falling Behind Target">
      <formula>NOT(ISERROR(SEARCH("In Danger of Falling Behind Target",E83)))</formula>
    </cfRule>
    <cfRule type="containsText" dxfId="272" priority="413" operator="containsText" text="Not yet due">
      <formula>NOT(ISERROR(SEARCH("Not yet due",E83)))</formula>
    </cfRule>
    <cfRule type="containsText" dxfId="271" priority="414" operator="containsText" text="Completed Behind Schedule">
      <formula>NOT(ISERROR(SEARCH("Completed Behind Schedule",E83)))</formula>
    </cfRule>
    <cfRule type="containsText" dxfId="270" priority="415" operator="containsText" text="Off Target">
      <formula>NOT(ISERROR(SEARCH("Off Target",E83)))</formula>
    </cfRule>
    <cfRule type="containsText" dxfId="269" priority="416" operator="containsText" text="In Danger of Falling Behind Target">
      <formula>NOT(ISERROR(SEARCH("In Danger of Falling Behind Target",E83)))</formula>
    </cfRule>
    <cfRule type="containsText" dxfId="268" priority="417" operator="containsText" text="On Track to be Achieved">
      <formula>NOT(ISERROR(SEARCH("On Track to be Achieved",E83)))</formula>
    </cfRule>
    <cfRule type="containsText" dxfId="267" priority="418" operator="containsText" text="Fully Achieved">
      <formula>NOT(ISERROR(SEARCH("Fully Achieved",E83)))</formula>
    </cfRule>
    <cfRule type="containsText" dxfId="266" priority="419" operator="containsText" text="Update not Provided">
      <formula>NOT(ISERROR(SEARCH("Update not Provided",E83)))</formula>
    </cfRule>
    <cfRule type="containsText" dxfId="265" priority="420" operator="containsText" text="Not yet due">
      <formula>NOT(ISERROR(SEARCH("Not yet due",E83)))</formula>
    </cfRule>
    <cfRule type="containsText" dxfId="264" priority="421" operator="containsText" text="Completed Behind Schedule">
      <formula>NOT(ISERROR(SEARCH("Completed Behind Schedule",E83)))</formula>
    </cfRule>
    <cfRule type="containsText" dxfId="263" priority="422" operator="containsText" text="Off Target">
      <formula>NOT(ISERROR(SEARCH("Off Target",E83)))</formula>
    </cfRule>
    <cfRule type="containsText" dxfId="262" priority="423" operator="containsText" text="In Danger of Falling Behind Target">
      <formula>NOT(ISERROR(SEARCH("In Danger of Falling Behind Target",E83)))</formula>
    </cfRule>
    <cfRule type="containsText" dxfId="261" priority="424" operator="containsText" text="On Track to be Achieved">
      <formula>NOT(ISERROR(SEARCH("On Track to be Achieved",E83)))</formula>
    </cfRule>
    <cfRule type="containsText" dxfId="260" priority="425" operator="containsText" text="Fully Achieved">
      <formula>NOT(ISERROR(SEARCH("Fully Achieved",E83)))</formula>
    </cfRule>
    <cfRule type="containsText" dxfId="259" priority="426" operator="containsText" text="Fully Achieved">
      <formula>NOT(ISERROR(SEARCH("Fully Achieved",E83)))</formula>
    </cfRule>
    <cfRule type="containsText" dxfId="258" priority="427" operator="containsText" text="Fully Achieved">
      <formula>NOT(ISERROR(SEARCH("Fully Achieved",E83)))</formula>
    </cfRule>
    <cfRule type="containsText" dxfId="257" priority="428" operator="containsText" text="Deferred">
      <formula>NOT(ISERROR(SEARCH("Deferred",E83)))</formula>
    </cfRule>
    <cfRule type="containsText" dxfId="256" priority="429" operator="containsText" text="Deleted">
      <formula>NOT(ISERROR(SEARCH("Deleted",E83)))</formula>
    </cfRule>
    <cfRule type="containsText" dxfId="255" priority="430" operator="containsText" text="In Danger of Falling Behind Target">
      <formula>NOT(ISERROR(SEARCH("In Danger of Falling Behind Target",E83)))</formula>
    </cfRule>
    <cfRule type="containsText" dxfId="254" priority="431" operator="containsText" text="Not yet due">
      <formula>NOT(ISERROR(SEARCH("Not yet due",E83)))</formula>
    </cfRule>
    <cfRule type="containsText" dxfId="253" priority="432" operator="containsText" text="Update not Provided">
      <formula>NOT(ISERROR(SEARCH("Update not Provided",E83)))</formula>
    </cfRule>
  </conditionalFormatting>
  <conditionalFormatting sqref="E89">
    <cfRule type="containsText" dxfId="252" priority="361" operator="containsText" text="On track to be achieved">
      <formula>NOT(ISERROR(SEARCH("On track to be achieved",E89)))</formula>
    </cfRule>
    <cfRule type="containsText" dxfId="251" priority="362" operator="containsText" text="Deferred">
      <formula>NOT(ISERROR(SEARCH("Deferred",E89)))</formula>
    </cfRule>
    <cfRule type="containsText" dxfId="250" priority="363" operator="containsText" text="Deleted">
      <formula>NOT(ISERROR(SEARCH("Deleted",E89)))</formula>
    </cfRule>
    <cfRule type="containsText" dxfId="249" priority="364" operator="containsText" text="In Danger of Falling Behind Target">
      <formula>NOT(ISERROR(SEARCH("In Danger of Falling Behind Target",E89)))</formula>
    </cfRule>
    <cfRule type="containsText" dxfId="248" priority="365" operator="containsText" text="Not yet due">
      <formula>NOT(ISERROR(SEARCH("Not yet due",E89)))</formula>
    </cfRule>
    <cfRule type="containsText" dxfId="247" priority="366" operator="containsText" text="Update not Provided">
      <formula>NOT(ISERROR(SEARCH("Update not Provided",E89)))</formula>
    </cfRule>
    <cfRule type="containsText" dxfId="246" priority="367" operator="containsText" text="Not yet due">
      <formula>NOT(ISERROR(SEARCH("Not yet due",E89)))</formula>
    </cfRule>
    <cfRule type="containsText" dxfId="245" priority="368" operator="containsText" text="Completed Behind Schedule">
      <formula>NOT(ISERROR(SEARCH("Completed Behind Schedule",E89)))</formula>
    </cfRule>
    <cfRule type="containsText" dxfId="244" priority="369" operator="containsText" text="Off Target">
      <formula>NOT(ISERROR(SEARCH("Off Target",E89)))</formula>
    </cfRule>
    <cfRule type="containsText" dxfId="243" priority="370" operator="containsText" text="On Track to be Achieved">
      <formula>NOT(ISERROR(SEARCH("On Track to be Achieved",E89)))</formula>
    </cfRule>
    <cfRule type="containsText" dxfId="242" priority="371" operator="containsText" text="Fully Achieved">
      <formula>NOT(ISERROR(SEARCH("Fully Achieved",E89)))</formula>
    </cfRule>
    <cfRule type="containsText" dxfId="241" priority="372" operator="containsText" text="Not yet due">
      <formula>NOT(ISERROR(SEARCH("Not yet due",E89)))</formula>
    </cfRule>
    <cfRule type="containsText" dxfId="240" priority="373" operator="containsText" text="Not Yet Due">
      <formula>NOT(ISERROR(SEARCH("Not Yet Due",E89)))</formula>
    </cfRule>
    <cfRule type="containsText" dxfId="239" priority="374" operator="containsText" text="Deferred">
      <formula>NOT(ISERROR(SEARCH("Deferred",E89)))</formula>
    </cfRule>
    <cfRule type="containsText" dxfId="238" priority="375" operator="containsText" text="Deleted">
      <formula>NOT(ISERROR(SEARCH("Deleted",E89)))</formula>
    </cfRule>
    <cfRule type="containsText" dxfId="237" priority="376" operator="containsText" text="In Danger of Falling Behind Target">
      <formula>NOT(ISERROR(SEARCH("In Danger of Falling Behind Target",E89)))</formula>
    </cfRule>
    <cfRule type="containsText" dxfId="236" priority="377" operator="containsText" text="Not yet due">
      <formula>NOT(ISERROR(SEARCH("Not yet due",E89)))</formula>
    </cfRule>
    <cfRule type="containsText" dxfId="235" priority="378" operator="containsText" text="Completed Behind Schedule">
      <formula>NOT(ISERROR(SEARCH("Completed Behind Schedule",E89)))</formula>
    </cfRule>
    <cfRule type="containsText" dxfId="234" priority="379" operator="containsText" text="Off Target">
      <formula>NOT(ISERROR(SEARCH("Off Target",E89)))</formula>
    </cfRule>
    <cfRule type="containsText" dxfId="233" priority="380" operator="containsText" text="In Danger of Falling Behind Target">
      <formula>NOT(ISERROR(SEARCH("In Danger of Falling Behind Target",E89)))</formula>
    </cfRule>
    <cfRule type="containsText" dxfId="232" priority="381" operator="containsText" text="On Track to be Achieved">
      <formula>NOT(ISERROR(SEARCH("On Track to be Achieved",E89)))</formula>
    </cfRule>
    <cfRule type="containsText" dxfId="231" priority="382" operator="containsText" text="Fully Achieved">
      <formula>NOT(ISERROR(SEARCH("Fully Achieved",E89)))</formula>
    </cfRule>
    <cfRule type="containsText" dxfId="230" priority="383" operator="containsText" text="Update not Provided">
      <formula>NOT(ISERROR(SEARCH("Update not Provided",E89)))</formula>
    </cfRule>
    <cfRule type="containsText" dxfId="229" priority="384" operator="containsText" text="Not yet due">
      <formula>NOT(ISERROR(SEARCH("Not yet due",E89)))</formula>
    </cfRule>
    <cfRule type="containsText" dxfId="228" priority="385" operator="containsText" text="Completed Behind Schedule">
      <formula>NOT(ISERROR(SEARCH("Completed Behind Schedule",E89)))</formula>
    </cfRule>
    <cfRule type="containsText" dxfId="227" priority="386" operator="containsText" text="Off Target">
      <formula>NOT(ISERROR(SEARCH("Off Target",E89)))</formula>
    </cfRule>
    <cfRule type="containsText" dxfId="226" priority="387" operator="containsText" text="In Danger of Falling Behind Target">
      <formula>NOT(ISERROR(SEARCH("In Danger of Falling Behind Target",E89)))</formula>
    </cfRule>
    <cfRule type="containsText" dxfId="225" priority="388" operator="containsText" text="On Track to be Achieved">
      <formula>NOT(ISERROR(SEARCH("On Track to be Achieved",E89)))</formula>
    </cfRule>
    <cfRule type="containsText" dxfId="224" priority="389" operator="containsText" text="Fully Achieved">
      <formula>NOT(ISERROR(SEARCH("Fully Achieved",E89)))</formula>
    </cfRule>
    <cfRule type="containsText" dxfId="223" priority="390" operator="containsText" text="Fully Achieved">
      <formula>NOT(ISERROR(SEARCH("Fully Achieved",E89)))</formula>
    </cfRule>
    <cfRule type="containsText" dxfId="222" priority="391" operator="containsText" text="Fully Achieved">
      <formula>NOT(ISERROR(SEARCH("Fully Achieved",E89)))</formula>
    </cfRule>
    <cfRule type="containsText" dxfId="221" priority="392" operator="containsText" text="Deferred">
      <formula>NOT(ISERROR(SEARCH("Deferred",E89)))</formula>
    </cfRule>
    <cfRule type="containsText" dxfId="220" priority="393" operator="containsText" text="Deleted">
      <formula>NOT(ISERROR(SEARCH("Deleted",E89)))</formula>
    </cfRule>
    <cfRule type="containsText" dxfId="219" priority="394" operator="containsText" text="In Danger of Falling Behind Target">
      <formula>NOT(ISERROR(SEARCH("In Danger of Falling Behind Target",E89)))</formula>
    </cfRule>
    <cfRule type="containsText" dxfId="218" priority="395" operator="containsText" text="Not yet due">
      <formula>NOT(ISERROR(SEARCH("Not yet due",E89)))</formula>
    </cfRule>
    <cfRule type="containsText" dxfId="217" priority="396" operator="containsText" text="Update not Provided">
      <formula>NOT(ISERROR(SEARCH("Update not Provided",E89)))</formula>
    </cfRule>
  </conditionalFormatting>
  <conditionalFormatting sqref="E91">
    <cfRule type="containsText" dxfId="216" priority="325" operator="containsText" text="On track to be achieved">
      <formula>NOT(ISERROR(SEARCH("On track to be achieved",E91)))</formula>
    </cfRule>
    <cfRule type="containsText" dxfId="215" priority="326" operator="containsText" text="Deferred">
      <formula>NOT(ISERROR(SEARCH("Deferred",E91)))</formula>
    </cfRule>
    <cfRule type="containsText" dxfId="214" priority="327" operator="containsText" text="Deleted">
      <formula>NOT(ISERROR(SEARCH("Deleted",E91)))</formula>
    </cfRule>
    <cfRule type="containsText" dxfId="213" priority="328" operator="containsText" text="In Danger of Falling Behind Target">
      <formula>NOT(ISERROR(SEARCH("In Danger of Falling Behind Target",E91)))</formula>
    </cfRule>
    <cfRule type="containsText" dxfId="212" priority="329" operator="containsText" text="Not yet due">
      <formula>NOT(ISERROR(SEARCH("Not yet due",E91)))</formula>
    </cfRule>
    <cfRule type="containsText" dxfId="211" priority="330" operator="containsText" text="Update not Provided">
      <formula>NOT(ISERROR(SEARCH("Update not Provided",E91)))</formula>
    </cfRule>
    <cfRule type="containsText" dxfId="210" priority="331" operator="containsText" text="Not yet due">
      <formula>NOT(ISERROR(SEARCH("Not yet due",E91)))</formula>
    </cfRule>
    <cfRule type="containsText" dxfId="209" priority="332" operator="containsText" text="Completed Behind Schedule">
      <formula>NOT(ISERROR(SEARCH("Completed Behind Schedule",E91)))</formula>
    </cfRule>
    <cfRule type="containsText" dxfId="208" priority="333" operator="containsText" text="Off Target">
      <formula>NOT(ISERROR(SEARCH("Off Target",E91)))</formula>
    </cfRule>
    <cfRule type="containsText" dxfId="207" priority="334" operator="containsText" text="On Track to be Achieved">
      <formula>NOT(ISERROR(SEARCH("On Track to be Achieved",E91)))</formula>
    </cfRule>
    <cfRule type="containsText" dxfId="206" priority="335" operator="containsText" text="Fully Achieved">
      <formula>NOT(ISERROR(SEARCH("Fully Achieved",E91)))</formula>
    </cfRule>
    <cfRule type="containsText" dxfId="205" priority="336" operator="containsText" text="Not yet due">
      <formula>NOT(ISERROR(SEARCH("Not yet due",E91)))</formula>
    </cfRule>
    <cfRule type="containsText" dxfId="204" priority="337" operator="containsText" text="Not Yet Due">
      <formula>NOT(ISERROR(SEARCH("Not Yet Due",E91)))</formula>
    </cfRule>
    <cfRule type="containsText" dxfId="203" priority="338" operator="containsText" text="Deferred">
      <formula>NOT(ISERROR(SEARCH("Deferred",E91)))</formula>
    </cfRule>
    <cfRule type="containsText" dxfId="202" priority="339" operator="containsText" text="Deleted">
      <formula>NOT(ISERROR(SEARCH("Deleted",E91)))</formula>
    </cfRule>
    <cfRule type="containsText" dxfId="201" priority="340" operator="containsText" text="In Danger of Falling Behind Target">
      <formula>NOT(ISERROR(SEARCH("In Danger of Falling Behind Target",E91)))</formula>
    </cfRule>
    <cfRule type="containsText" dxfId="200" priority="341" operator="containsText" text="Not yet due">
      <formula>NOT(ISERROR(SEARCH("Not yet due",E91)))</formula>
    </cfRule>
    <cfRule type="containsText" dxfId="199" priority="342" operator="containsText" text="Completed Behind Schedule">
      <formula>NOT(ISERROR(SEARCH("Completed Behind Schedule",E91)))</formula>
    </cfRule>
    <cfRule type="containsText" dxfId="198" priority="343" operator="containsText" text="Off Target">
      <formula>NOT(ISERROR(SEARCH("Off Target",E91)))</formula>
    </cfRule>
    <cfRule type="containsText" dxfId="197" priority="344" operator="containsText" text="In Danger of Falling Behind Target">
      <formula>NOT(ISERROR(SEARCH("In Danger of Falling Behind Target",E91)))</formula>
    </cfRule>
    <cfRule type="containsText" dxfId="196" priority="345" operator="containsText" text="On Track to be Achieved">
      <formula>NOT(ISERROR(SEARCH("On Track to be Achieved",E91)))</formula>
    </cfRule>
    <cfRule type="containsText" dxfId="195" priority="346" operator="containsText" text="Fully Achieved">
      <formula>NOT(ISERROR(SEARCH("Fully Achieved",E91)))</formula>
    </cfRule>
    <cfRule type="containsText" dxfId="194" priority="347" operator="containsText" text="Update not Provided">
      <formula>NOT(ISERROR(SEARCH("Update not Provided",E91)))</formula>
    </cfRule>
    <cfRule type="containsText" dxfId="193" priority="348" operator="containsText" text="Not yet due">
      <formula>NOT(ISERROR(SEARCH("Not yet due",E91)))</formula>
    </cfRule>
    <cfRule type="containsText" dxfId="192" priority="349" operator="containsText" text="Completed Behind Schedule">
      <formula>NOT(ISERROR(SEARCH("Completed Behind Schedule",E91)))</formula>
    </cfRule>
    <cfRule type="containsText" dxfId="191" priority="350" operator="containsText" text="Off Target">
      <formula>NOT(ISERROR(SEARCH("Off Target",E91)))</formula>
    </cfRule>
    <cfRule type="containsText" dxfId="190" priority="351" operator="containsText" text="In Danger of Falling Behind Target">
      <formula>NOT(ISERROR(SEARCH("In Danger of Falling Behind Target",E91)))</formula>
    </cfRule>
    <cfRule type="containsText" dxfId="189" priority="352" operator="containsText" text="On Track to be Achieved">
      <formula>NOT(ISERROR(SEARCH("On Track to be Achieved",E91)))</formula>
    </cfRule>
    <cfRule type="containsText" dxfId="188" priority="353" operator="containsText" text="Fully Achieved">
      <formula>NOT(ISERROR(SEARCH("Fully Achieved",E91)))</formula>
    </cfRule>
    <cfRule type="containsText" dxfId="187" priority="354" operator="containsText" text="Fully Achieved">
      <formula>NOT(ISERROR(SEARCH("Fully Achieved",E91)))</formula>
    </cfRule>
    <cfRule type="containsText" dxfId="186" priority="355" operator="containsText" text="Fully Achieved">
      <formula>NOT(ISERROR(SEARCH("Fully Achieved",E91)))</formula>
    </cfRule>
    <cfRule type="containsText" dxfId="185" priority="356" operator="containsText" text="Deferred">
      <formula>NOT(ISERROR(SEARCH("Deferred",E91)))</formula>
    </cfRule>
    <cfRule type="containsText" dxfId="184" priority="357" operator="containsText" text="Deleted">
      <formula>NOT(ISERROR(SEARCH("Deleted",E91)))</formula>
    </cfRule>
    <cfRule type="containsText" dxfId="183" priority="358" operator="containsText" text="In Danger of Falling Behind Target">
      <formula>NOT(ISERROR(SEARCH("In Danger of Falling Behind Target",E91)))</formula>
    </cfRule>
    <cfRule type="containsText" dxfId="182" priority="359" operator="containsText" text="Not yet due">
      <formula>NOT(ISERROR(SEARCH("Not yet due",E91)))</formula>
    </cfRule>
    <cfRule type="containsText" dxfId="181" priority="360" operator="containsText" text="Update not Provided">
      <formula>NOT(ISERROR(SEARCH("Update not Provided",E91)))</formula>
    </cfRule>
  </conditionalFormatting>
  <conditionalFormatting sqref="E96:E97">
    <cfRule type="containsText" dxfId="180" priority="289" operator="containsText" text="On track to be achieved">
      <formula>NOT(ISERROR(SEARCH("On track to be achieved",E96)))</formula>
    </cfRule>
    <cfRule type="containsText" dxfId="179" priority="290" operator="containsText" text="Deferred">
      <formula>NOT(ISERROR(SEARCH("Deferred",E96)))</formula>
    </cfRule>
    <cfRule type="containsText" dxfId="178" priority="291" operator="containsText" text="Deleted">
      <formula>NOT(ISERROR(SEARCH("Deleted",E96)))</formula>
    </cfRule>
    <cfRule type="containsText" dxfId="177" priority="292" operator="containsText" text="In Danger of Falling Behind Target">
      <formula>NOT(ISERROR(SEARCH("In Danger of Falling Behind Target",E96)))</formula>
    </cfRule>
    <cfRule type="containsText" dxfId="176" priority="293" operator="containsText" text="Not yet due">
      <formula>NOT(ISERROR(SEARCH("Not yet due",E96)))</formula>
    </cfRule>
    <cfRule type="containsText" dxfId="175" priority="294" operator="containsText" text="Update not Provided">
      <formula>NOT(ISERROR(SEARCH("Update not Provided",E96)))</formula>
    </cfRule>
    <cfRule type="containsText" dxfId="174" priority="295" operator="containsText" text="Not yet due">
      <formula>NOT(ISERROR(SEARCH("Not yet due",E96)))</formula>
    </cfRule>
    <cfRule type="containsText" dxfId="173" priority="296" operator="containsText" text="Completed Behind Schedule">
      <formula>NOT(ISERROR(SEARCH("Completed Behind Schedule",E96)))</formula>
    </cfRule>
    <cfRule type="containsText" dxfId="172" priority="297" operator="containsText" text="Off Target">
      <formula>NOT(ISERROR(SEARCH("Off Target",E96)))</formula>
    </cfRule>
    <cfRule type="containsText" dxfId="171" priority="298" operator="containsText" text="On Track to be Achieved">
      <formula>NOT(ISERROR(SEARCH("On Track to be Achieved",E96)))</formula>
    </cfRule>
    <cfRule type="containsText" dxfId="170" priority="299" operator="containsText" text="Fully Achieved">
      <formula>NOT(ISERROR(SEARCH("Fully Achieved",E96)))</formula>
    </cfRule>
    <cfRule type="containsText" dxfId="169" priority="300" operator="containsText" text="Not yet due">
      <formula>NOT(ISERROR(SEARCH("Not yet due",E96)))</formula>
    </cfRule>
    <cfRule type="containsText" dxfId="168" priority="301" operator="containsText" text="Not Yet Due">
      <formula>NOT(ISERROR(SEARCH("Not Yet Due",E96)))</formula>
    </cfRule>
    <cfRule type="containsText" dxfId="167" priority="302" operator="containsText" text="Deferred">
      <formula>NOT(ISERROR(SEARCH("Deferred",E96)))</formula>
    </cfRule>
    <cfRule type="containsText" dxfId="166" priority="303" operator="containsText" text="Deleted">
      <formula>NOT(ISERROR(SEARCH("Deleted",E96)))</formula>
    </cfRule>
    <cfRule type="containsText" dxfId="165" priority="304" operator="containsText" text="In Danger of Falling Behind Target">
      <formula>NOT(ISERROR(SEARCH("In Danger of Falling Behind Target",E96)))</formula>
    </cfRule>
    <cfRule type="containsText" dxfId="164" priority="305" operator="containsText" text="Not yet due">
      <formula>NOT(ISERROR(SEARCH("Not yet due",E96)))</formula>
    </cfRule>
    <cfRule type="containsText" dxfId="163" priority="306" operator="containsText" text="Completed Behind Schedule">
      <formula>NOT(ISERROR(SEARCH("Completed Behind Schedule",E96)))</formula>
    </cfRule>
    <cfRule type="containsText" dxfId="162" priority="307" operator="containsText" text="Off Target">
      <formula>NOT(ISERROR(SEARCH("Off Target",E96)))</formula>
    </cfRule>
    <cfRule type="containsText" dxfId="161" priority="308" operator="containsText" text="In Danger of Falling Behind Target">
      <formula>NOT(ISERROR(SEARCH("In Danger of Falling Behind Target",E96)))</formula>
    </cfRule>
    <cfRule type="containsText" dxfId="160" priority="309" operator="containsText" text="On Track to be Achieved">
      <formula>NOT(ISERROR(SEARCH("On Track to be Achieved",E96)))</formula>
    </cfRule>
    <cfRule type="containsText" dxfId="159" priority="310" operator="containsText" text="Fully Achieved">
      <formula>NOT(ISERROR(SEARCH("Fully Achieved",E96)))</formula>
    </cfRule>
    <cfRule type="containsText" dxfId="158" priority="311" operator="containsText" text="Update not Provided">
      <formula>NOT(ISERROR(SEARCH("Update not Provided",E96)))</formula>
    </cfRule>
    <cfRule type="containsText" dxfId="157" priority="312" operator="containsText" text="Not yet due">
      <formula>NOT(ISERROR(SEARCH("Not yet due",E96)))</formula>
    </cfRule>
    <cfRule type="containsText" dxfId="156" priority="313" operator="containsText" text="Completed Behind Schedule">
      <formula>NOT(ISERROR(SEARCH("Completed Behind Schedule",E96)))</formula>
    </cfRule>
    <cfRule type="containsText" dxfId="155" priority="314" operator="containsText" text="Off Target">
      <formula>NOT(ISERROR(SEARCH("Off Target",E96)))</formula>
    </cfRule>
    <cfRule type="containsText" dxfId="154" priority="315" operator="containsText" text="In Danger of Falling Behind Target">
      <formula>NOT(ISERROR(SEARCH("In Danger of Falling Behind Target",E96)))</formula>
    </cfRule>
    <cfRule type="containsText" dxfId="153" priority="316" operator="containsText" text="On Track to be Achieved">
      <formula>NOT(ISERROR(SEARCH("On Track to be Achieved",E96)))</formula>
    </cfRule>
    <cfRule type="containsText" dxfId="152" priority="317" operator="containsText" text="Fully Achieved">
      <formula>NOT(ISERROR(SEARCH("Fully Achieved",E96)))</formula>
    </cfRule>
    <cfRule type="containsText" dxfId="151" priority="318" operator="containsText" text="Fully Achieved">
      <formula>NOT(ISERROR(SEARCH("Fully Achieved",E96)))</formula>
    </cfRule>
    <cfRule type="containsText" dxfId="150" priority="319" operator="containsText" text="Fully Achieved">
      <formula>NOT(ISERROR(SEARCH("Fully Achieved",E96)))</formula>
    </cfRule>
    <cfRule type="containsText" dxfId="149" priority="320" operator="containsText" text="Deferred">
      <formula>NOT(ISERROR(SEARCH("Deferred",E96)))</formula>
    </cfRule>
    <cfRule type="containsText" dxfId="148" priority="321" operator="containsText" text="Deleted">
      <formula>NOT(ISERROR(SEARCH("Deleted",E96)))</formula>
    </cfRule>
    <cfRule type="containsText" dxfId="147" priority="322" operator="containsText" text="In Danger of Falling Behind Target">
      <formula>NOT(ISERROR(SEARCH("In Danger of Falling Behind Target",E96)))</formula>
    </cfRule>
    <cfRule type="containsText" dxfId="146" priority="323" operator="containsText" text="Not yet due">
      <formula>NOT(ISERROR(SEARCH("Not yet due",E96)))</formula>
    </cfRule>
    <cfRule type="containsText" dxfId="145" priority="324" operator="containsText" text="Update not Provided">
      <formula>NOT(ISERROR(SEARCH("Update not Provided",E96)))</formula>
    </cfRule>
  </conditionalFormatting>
  <conditionalFormatting sqref="E99:E101">
    <cfRule type="containsText" dxfId="144" priority="253" operator="containsText" text="On track to be achieved">
      <formula>NOT(ISERROR(SEARCH("On track to be achieved",E99)))</formula>
    </cfRule>
    <cfRule type="containsText" dxfId="143" priority="254" operator="containsText" text="Deferred">
      <formula>NOT(ISERROR(SEARCH("Deferred",E99)))</formula>
    </cfRule>
    <cfRule type="containsText" dxfId="142" priority="255" operator="containsText" text="Deleted">
      <formula>NOT(ISERROR(SEARCH("Deleted",E99)))</formula>
    </cfRule>
    <cfRule type="containsText" dxfId="141" priority="256" operator="containsText" text="In Danger of Falling Behind Target">
      <formula>NOT(ISERROR(SEARCH("In Danger of Falling Behind Target",E99)))</formula>
    </cfRule>
    <cfRule type="containsText" dxfId="140" priority="257" operator="containsText" text="Not yet due">
      <formula>NOT(ISERROR(SEARCH("Not yet due",E99)))</formula>
    </cfRule>
    <cfRule type="containsText" dxfId="139" priority="258" operator="containsText" text="Update not Provided">
      <formula>NOT(ISERROR(SEARCH("Update not Provided",E99)))</formula>
    </cfRule>
    <cfRule type="containsText" dxfId="138" priority="259" operator="containsText" text="Not yet due">
      <formula>NOT(ISERROR(SEARCH("Not yet due",E99)))</formula>
    </cfRule>
    <cfRule type="containsText" dxfId="137" priority="260" operator="containsText" text="Completed Behind Schedule">
      <formula>NOT(ISERROR(SEARCH("Completed Behind Schedule",E99)))</formula>
    </cfRule>
    <cfRule type="containsText" dxfId="136" priority="261" operator="containsText" text="Off Target">
      <formula>NOT(ISERROR(SEARCH("Off Target",E99)))</formula>
    </cfRule>
    <cfRule type="containsText" dxfId="135" priority="262" operator="containsText" text="On Track to be Achieved">
      <formula>NOT(ISERROR(SEARCH("On Track to be Achieved",E99)))</formula>
    </cfRule>
    <cfRule type="containsText" dxfId="134" priority="263" operator="containsText" text="Fully Achieved">
      <formula>NOT(ISERROR(SEARCH("Fully Achieved",E99)))</formula>
    </cfRule>
    <cfRule type="containsText" dxfId="133" priority="264" operator="containsText" text="Not yet due">
      <formula>NOT(ISERROR(SEARCH("Not yet due",E99)))</formula>
    </cfRule>
    <cfRule type="containsText" dxfId="132" priority="265" operator="containsText" text="Not Yet Due">
      <formula>NOT(ISERROR(SEARCH("Not Yet Due",E99)))</formula>
    </cfRule>
    <cfRule type="containsText" dxfId="131" priority="266" operator="containsText" text="Deferred">
      <formula>NOT(ISERROR(SEARCH("Deferred",E99)))</formula>
    </cfRule>
    <cfRule type="containsText" dxfId="130" priority="267" operator="containsText" text="Deleted">
      <formula>NOT(ISERROR(SEARCH("Deleted",E99)))</formula>
    </cfRule>
    <cfRule type="containsText" dxfId="129" priority="268" operator="containsText" text="In Danger of Falling Behind Target">
      <formula>NOT(ISERROR(SEARCH("In Danger of Falling Behind Target",E99)))</formula>
    </cfRule>
    <cfRule type="containsText" dxfId="128" priority="269" operator="containsText" text="Not yet due">
      <formula>NOT(ISERROR(SEARCH("Not yet due",E99)))</formula>
    </cfRule>
    <cfRule type="containsText" dxfId="127" priority="270" operator="containsText" text="Completed Behind Schedule">
      <formula>NOT(ISERROR(SEARCH("Completed Behind Schedule",E99)))</formula>
    </cfRule>
    <cfRule type="containsText" dxfId="126" priority="271" operator="containsText" text="Off Target">
      <formula>NOT(ISERROR(SEARCH("Off Target",E99)))</formula>
    </cfRule>
    <cfRule type="containsText" dxfId="125" priority="272" operator="containsText" text="In Danger of Falling Behind Target">
      <formula>NOT(ISERROR(SEARCH("In Danger of Falling Behind Target",E99)))</formula>
    </cfRule>
    <cfRule type="containsText" dxfId="124" priority="273" operator="containsText" text="On Track to be Achieved">
      <formula>NOT(ISERROR(SEARCH("On Track to be Achieved",E99)))</formula>
    </cfRule>
    <cfRule type="containsText" dxfId="123" priority="274" operator="containsText" text="Fully Achieved">
      <formula>NOT(ISERROR(SEARCH("Fully Achieved",E99)))</formula>
    </cfRule>
    <cfRule type="containsText" dxfId="122" priority="275" operator="containsText" text="Update not Provided">
      <formula>NOT(ISERROR(SEARCH("Update not Provided",E99)))</formula>
    </cfRule>
    <cfRule type="containsText" dxfId="121" priority="276" operator="containsText" text="Not yet due">
      <formula>NOT(ISERROR(SEARCH("Not yet due",E99)))</formula>
    </cfRule>
    <cfRule type="containsText" dxfId="120" priority="277" operator="containsText" text="Completed Behind Schedule">
      <formula>NOT(ISERROR(SEARCH("Completed Behind Schedule",E99)))</formula>
    </cfRule>
    <cfRule type="containsText" dxfId="119" priority="278" operator="containsText" text="Off Target">
      <formula>NOT(ISERROR(SEARCH("Off Target",E99)))</formula>
    </cfRule>
    <cfRule type="containsText" dxfId="118" priority="279" operator="containsText" text="In Danger of Falling Behind Target">
      <formula>NOT(ISERROR(SEARCH("In Danger of Falling Behind Target",E99)))</formula>
    </cfRule>
    <cfRule type="containsText" dxfId="117" priority="280" operator="containsText" text="On Track to be Achieved">
      <formula>NOT(ISERROR(SEARCH("On Track to be Achieved",E99)))</formula>
    </cfRule>
    <cfRule type="containsText" dxfId="116" priority="281" operator="containsText" text="Fully Achieved">
      <formula>NOT(ISERROR(SEARCH("Fully Achieved",E99)))</formula>
    </cfRule>
    <cfRule type="containsText" dxfId="115" priority="282" operator="containsText" text="Fully Achieved">
      <formula>NOT(ISERROR(SEARCH("Fully Achieved",E99)))</formula>
    </cfRule>
    <cfRule type="containsText" dxfId="114" priority="283" operator="containsText" text="Fully Achieved">
      <formula>NOT(ISERROR(SEARCH("Fully Achieved",E99)))</formula>
    </cfRule>
    <cfRule type="containsText" dxfId="113" priority="284" operator="containsText" text="Deferred">
      <formula>NOT(ISERROR(SEARCH("Deferred",E99)))</formula>
    </cfRule>
    <cfRule type="containsText" dxfId="112" priority="285" operator="containsText" text="Deleted">
      <formula>NOT(ISERROR(SEARCH("Deleted",E99)))</formula>
    </cfRule>
    <cfRule type="containsText" dxfId="111" priority="286" operator="containsText" text="In Danger of Falling Behind Target">
      <formula>NOT(ISERROR(SEARCH("In Danger of Falling Behind Target",E99)))</formula>
    </cfRule>
    <cfRule type="containsText" dxfId="110" priority="287" operator="containsText" text="Not yet due">
      <formula>NOT(ISERROR(SEARCH("Not yet due",E99)))</formula>
    </cfRule>
    <cfRule type="containsText" dxfId="109" priority="288" operator="containsText" text="Update not Provided">
      <formula>NOT(ISERROR(SEARCH("Update not Provided",E99)))</formula>
    </cfRule>
  </conditionalFormatting>
  <conditionalFormatting sqref="E104:E109">
    <cfRule type="containsText" dxfId="108" priority="217" operator="containsText" text="On track to be achieved">
      <formula>NOT(ISERROR(SEARCH("On track to be achieved",E104)))</formula>
    </cfRule>
    <cfRule type="containsText" dxfId="107" priority="218" operator="containsText" text="Deferred">
      <formula>NOT(ISERROR(SEARCH("Deferred",E104)))</formula>
    </cfRule>
    <cfRule type="containsText" dxfId="106" priority="219" operator="containsText" text="Deleted">
      <formula>NOT(ISERROR(SEARCH("Deleted",E104)))</formula>
    </cfRule>
    <cfRule type="containsText" dxfId="105" priority="220" operator="containsText" text="In Danger of Falling Behind Target">
      <formula>NOT(ISERROR(SEARCH("In Danger of Falling Behind Target",E104)))</formula>
    </cfRule>
    <cfRule type="containsText" dxfId="104" priority="221" operator="containsText" text="Not yet due">
      <formula>NOT(ISERROR(SEARCH("Not yet due",E104)))</formula>
    </cfRule>
    <cfRule type="containsText" dxfId="103" priority="222" operator="containsText" text="Update not Provided">
      <formula>NOT(ISERROR(SEARCH("Update not Provided",E104)))</formula>
    </cfRule>
    <cfRule type="containsText" dxfId="102" priority="223" operator="containsText" text="Not yet due">
      <formula>NOT(ISERROR(SEARCH("Not yet due",E104)))</formula>
    </cfRule>
    <cfRule type="containsText" dxfId="101" priority="224" operator="containsText" text="Completed Behind Schedule">
      <formula>NOT(ISERROR(SEARCH("Completed Behind Schedule",E104)))</formula>
    </cfRule>
    <cfRule type="containsText" dxfId="100" priority="225" operator="containsText" text="Off Target">
      <formula>NOT(ISERROR(SEARCH("Off Target",E104)))</formula>
    </cfRule>
    <cfRule type="containsText" dxfId="99" priority="226" operator="containsText" text="On Track to be Achieved">
      <formula>NOT(ISERROR(SEARCH("On Track to be Achieved",E104)))</formula>
    </cfRule>
    <cfRule type="containsText" dxfId="98" priority="227" operator="containsText" text="Fully Achieved">
      <formula>NOT(ISERROR(SEARCH("Fully Achieved",E104)))</formula>
    </cfRule>
    <cfRule type="containsText" dxfId="97" priority="228" operator="containsText" text="Not yet due">
      <formula>NOT(ISERROR(SEARCH("Not yet due",E104)))</formula>
    </cfRule>
    <cfRule type="containsText" dxfId="96" priority="229" operator="containsText" text="Not Yet Due">
      <formula>NOT(ISERROR(SEARCH("Not Yet Due",E104)))</formula>
    </cfRule>
    <cfRule type="containsText" dxfId="95" priority="230" operator="containsText" text="Deferred">
      <formula>NOT(ISERROR(SEARCH("Deferred",E104)))</formula>
    </cfRule>
    <cfRule type="containsText" dxfId="94" priority="231" operator="containsText" text="Deleted">
      <formula>NOT(ISERROR(SEARCH("Deleted",E104)))</formula>
    </cfRule>
    <cfRule type="containsText" dxfId="93" priority="232" operator="containsText" text="In Danger of Falling Behind Target">
      <formula>NOT(ISERROR(SEARCH("In Danger of Falling Behind Target",E104)))</formula>
    </cfRule>
    <cfRule type="containsText" dxfId="92" priority="233" operator="containsText" text="Not yet due">
      <formula>NOT(ISERROR(SEARCH("Not yet due",E104)))</formula>
    </cfRule>
    <cfRule type="containsText" dxfId="91" priority="234" operator="containsText" text="Completed Behind Schedule">
      <formula>NOT(ISERROR(SEARCH("Completed Behind Schedule",E104)))</formula>
    </cfRule>
    <cfRule type="containsText" dxfId="90" priority="235" operator="containsText" text="Off Target">
      <formula>NOT(ISERROR(SEARCH("Off Target",E104)))</formula>
    </cfRule>
    <cfRule type="containsText" dxfId="89" priority="236" operator="containsText" text="In Danger of Falling Behind Target">
      <formula>NOT(ISERROR(SEARCH("In Danger of Falling Behind Target",E104)))</formula>
    </cfRule>
    <cfRule type="containsText" dxfId="88" priority="237" operator="containsText" text="On Track to be Achieved">
      <formula>NOT(ISERROR(SEARCH("On Track to be Achieved",E104)))</formula>
    </cfRule>
    <cfRule type="containsText" dxfId="87" priority="238" operator="containsText" text="Fully Achieved">
      <formula>NOT(ISERROR(SEARCH("Fully Achieved",E104)))</formula>
    </cfRule>
    <cfRule type="containsText" dxfId="86" priority="239" operator="containsText" text="Update not Provided">
      <formula>NOT(ISERROR(SEARCH("Update not Provided",E104)))</formula>
    </cfRule>
    <cfRule type="containsText" dxfId="85" priority="240" operator="containsText" text="Not yet due">
      <formula>NOT(ISERROR(SEARCH("Not yet due",E104)))</formula>
    </cfRule>
    <cfRule type="containsText" dxfId="84" priority="241" operator="containsText" text="Completed Behind Schedule">
      <formula>NOT(ISERROR(SEARCH("Completed Behind Schedule",E104)))</formula>
    </cfRule>
    <cfRule type="containsText" dxfId="83" priority="242" operator="containsText" text="Off Target">
      <formula>NOT(ISERROR(SEARCH("Off Target",E104)))</formula>
    </cfRule>
    <cfRule type="containsText" dxfId="82" priority="243" operator="containsText" text="In Danger of Falling Behind Target">
      <formula>NOT(ISERROR(SEARCH("In Danger of Falling Behind Target",E104)))</formula>
    </cfRule>
    <cfRule type="containsText" dxfId="81" priority="244" operator="containsText" text="On Track to be Achieved">
      <formula>NOT(ISERROR(SEARCH("On Track to be Achieved",E104)))</formula>
    </cfRule>
    <cfRule type="containsText" dxfId="80" priority="245" operator="containsText" text="Fully Achieved">
      <formula>NOT(ISERROR(SEARCH("Fully Achieved",E104)))</formula>
    </cfRule>
    <cfRule type="containsText" dxfId="79" priority="246" operator="containsText" text="Fully Achieved">
      <formula>NOT(ISERROR(SEARCH("Fully Achieved",E104)))</formula>
    </cfRule>
    <cfRule type="containsText" dxfId="78" priority="247" operator="containsText" text="Fully Achieved">
      <formula>NOT(ISERROR(SEARCH("Fully Achieved",E104)))</formula>
    </cfRule>
    <cfRule type="containsText" dxfId="77" priority="248" operator="containsText" text="Deferred">
      <formula>NOT(ISERROR(SEARCH("Deferred",E104)))</formula>
    </cfRule>
    <cfRule type="containsText" dxfId="76" priority="249" operator="containsText" text="Deleted">
      <formula>NOT(ISERROR(SEARCH("Deleted",E104)))</formula>
    </cfRule>
    <cfRule type="containsText" dxfId="75" priority="250" operator="containsText" text="In Danger of Falling Behind Target">
      <formula>NOT(ISERROR(SEARCH("In Danger of Falling Behind Target",E104)))</formula>
    </cfRule>
    <cfRule type="containsText" dxfId="74" priority="251" operator="containsText" text="Not yet due">
      <formula>NOT(ISERROR(SEARCH("Not yet due",E104)))</formula>
    </cfRule>
    <cfRule type="containsText" dxfId="73" priority="252" operator="containsText" text="Update not Provided">
      <formula>NOT(ISERROR(SEARCH("Update not Provided",E104)))</formula>
    </cfRule>
  </conditionalFormatting>
  <conditionalFormatting sqref="E7">
    <cfRule type="containsText" dxfId="72" priority="1" operator="containsText" text="On track to be achieved">
      <formula>NOT(ISERROR(SEARCH("On track to be achieved",E7)))</formula>
    </cfRule>
    <cfRule type="containsText" dxfId="71" priority="2" operator="containsText" text="Deferred">
      <formula>NOT(ISERROR(SEARCH("Deferred",E7)))</formula>
    </cfRule>
    <cfRule type="containsText" dxfId="70" priority="3" operator="containsText" text="Deleted">
      <formula>NOT(ISERROR(SEARCH("Deleted",E7)))</formula>
    </cfRule>
    <cfRule type="containsText" dxfId="69" priority="4" operator="containsText" text="In Danger of Falling Behind Target">
      <formula>NOT(ISERROR(SEARCH("In Danger of Falling Behind Target",E7)))</formula>
    </cfRule>
    <cfRule type="containsText" dxfId="68" priority="5" operator="containsText" text="Not yet due">
      <formula>NOT(ISERROR(SEARCH("Not yet due",E7)))</formula>
    </cfRule>
    <cfRule type="containsText" dxfId="67" priority="6" operator="containsText" text="Update not Provided">
      <formula>NOT(ISERROR(SEARCH("Update not Provided",E7)))</formula>
    </cfRule>
    <cfRule type="containsText" dxfId="66" priority="7" operator="containsText" text="Not yet due">
      <formula>NOT(ISERROR(SEARCH("Not yet due",E7)))</formula>
    </cfRule>
    <cfRule type="containsText" dxfId="65" priority="8" operator="containsText" text="Completed Behind Schedule">
      <formula>NOT(ISERROR(SEARCH("Completed Behind Schedule",E7)))</formula>
    </cfRule>
    <cfRule type="containsText" dxfId="64" priority="9" operator="containsText" text="Off Target">
      <formula>NOT(ISERROR(SEARCH("Off Target",E7)))</formula>
    </cfRule>
    <cfRule type="containsText" dxfId="63" priority="10" operator="containsText" text="On Track to be Achieved">
      <formula>NOT(ISERROR(SEARCH("On Track to be Achieved",E7)))</formula>
    </cfRule>
    <cfRule type="containsText" dxfId="62" priority="11" operator="containsText" text="Fully Achieved">
      <formula>NOT(ISERROR(SEARCH("Fully Achieved",E7)))</formula>
    </cfRule>
    <cfRule type="containsText" dxfId="61" priority="12" operator="containsText" text="Not yet due">
      <formula>NOT(ISERROR(SEARCH("Not yet due",E7)))</formula>
    </cfRule>
    <cfRule type="containsText" dxfId="60" priority="13" operator="containsText" text="Not Yet Due">
      <formula>NOT(ISERROR(SEARCH("Not Yet Due",E7)))</formula>
    </cfRule>
    <cfRule type="containsText" dxfId="59" priority="14" operator="containsText" text="Deferred">
      <formula>NOT(ISERROR(SEARCH("Deferred",E7)))</formula>
    </cfRule>
    <cfRule type="containsText" dxfId="58" priority="15" operator="containsText" text="Deleted">
      <formula>NOT(ISERROR(SEARCH("Deleted",E7)))</formula>
    </cfRule>
    <cfRule type="containsText" dxfId="57" priority="16" operator="containsText" text="In Danger of Falling Behind Target">
      <formula>NOT(ISERROR(SEARCH("In Danger of Falling Behind Target",E7)))</formula>
    </cfRule>
    <cfRule type="containsText" dxfId="56" priority="17" operator="containsText" text="Not yet due">
      <formula>NOT(ISERROR(SEARCH("Not yet due",E7)))</formula>
    </cfRule>
    <cfRule type="containsText" dxfId="55" priority="18" operator="containsText" text="Completed Behind Schedule">
      <formula>NOT(ISERROR(SEARCH("Completed Behind Schedule",E7)))</formula>
    </cfRule>
    <cfRule type="containsText" dxfId="54" priority="19" operator="containsText" text="Off Target">
      <formula>NOT(ISERROR(SEARCH("Off Target",E7)))</formula>
    </cfRule>
    <cfRule type="containsText" dxfId="53" priority="20" operator="containsText" text="In Danger of Falling Behind Target">
      <formula>NOT(ISERROR(SEARCH("In Danger of Falling Behind Target",E7)))</formula>
    </cfRule>
    <cfRule type="containsText" dxfId="52" priority="21" operator="containsText" text="On Track to be Achieved">
      <formula>NOT(ISERROR(SEARCH("On Track to be Achieved",E7)))</formula>
    </cfRule>
    <cfRule type="containsText" dxfId="51" priority="22" operator="containsText" text="Fully Achieved">
      <formula>NOT(ISERROR(SEARCH("Fully Achieved",E7)))</formula>
    </cfRule>
    <cfRule type="containsText" dxfId="50" priority="23" operator="containsText" text="Update not Provided">
      <formula>NOT(ISERROR(SEARCH("Update not Provided",E7)))</formula>
    </cfRule>
    <cfRule type="containsText" dxfId="49" priority="24" operator="containsText" text="Not yet due">
      <formula>NOT(ISERROR(SEARCH("Not yet due",E7)))</formula>
    </cfRule>
    <cfRule type="containsText" dxfId="48" priority="25" operator="containsText" text="Completed Behind Schedule">
      <formula>NOT(ISERROR(SEARCH("Completed Behind Schedule",E7)))</formula>
    </cfRule>
    <cfRule type="containsText" dxfId="47" priority="26" operator="containsText" text="Off Target">
      <formula>NOT(ISERROR(SEARCH("Off Target",E7)))</formula>
    </cfRule>
    <cfRule type="containsText" dxfId="46" priority="27" operator="containsText" text="In Danger of Falling Behind Target">
      <formula>NOT(ISERROR(SEARCH("In Danger of Falling Behind Target",E7)))</formula>
    </cfRule>
    <cfRule type="containsText" dxfId="45" priority="28" operator="containsText" text="On Track to be Achieved">
      <formula>NOT(ISERROR(SEARCH("On Track to be Achieved",E7)))</formula>
    </cfRule>
    <cfRule type="containsText" dxfId="44" priority="29" operator="containsText" text="Fully Achieved">
      <formula>NOT(ISERROR(SEARCH("Fully Achieved",E7)))</formula>
    </cfRule>
    <cfRule type="containsText" dxfId="43" priority="30" operator="containsText" text="Fully Achieved">
      <formula>NOT(ISERROR(SEARCH("Fully Achieved",E7)))</formula>
    </cfRule>
    <cfRule type="containsText" dxfId="42" priority="31" operator="containsText" text="Fully Achieved">
      <formula>NOT(ISERROR(SEARCH("Fully Achieved",E7)))</formula>
    </cfRule>
    <cfRule type="containsText" dxfId="41" priority="32" operator="containsText" text="Deferred">
      <formula>NOT(ISERROR(SEARCH("Deferred",E7)))</formula>
    </cfRule>
    <cfRule type="containsText" dxfId="40" priority="33" operator="containsText" text="Deleted">
      <formula>NOT(ISERROR(SEARCH("Deleted",E7)))</formula>
    </cfRule>
    <cfRule type="containsText" dxfId="39" priority="34" operator="containsText" text="In Danger of Falling Behind Target">
      <formula>NOT(ISERROR(SEARCH("In Danger of Falling Behind Target",E7)))</formula>
    </cfRule>
    <cfRule type="containsText" dxfId="38" priority="35" operator="containsText" text="Not yet due">
      <formula>NOT(ISERROR(SEARCH("Not yet due",E7)))</formula>
    </cfRule>
    <cfRule type="containsText" dxfId="37"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5"/>
  <cols>
    <col min="1" max="1" width="17" bestFit="1" customWidth="1"/>
  </cols>
  <sheetData>
    <row r="1" spans="1:3">
      <c r="A1" s="134"/>
      <c r="B1" s="135"/>
      <c r="C1" s="136"/>
    </row>
    <row r="2" spans="1:3">
      <c r="A2" s="137"/>
      <c r="B2" s="138"/>
      <c r="C2" s="139"/>
    </row>
    <row r="3" spans="1:3">
      <c r="A3" s="137"/>
      <c r="B3" s="138"/>
      <c r="C3" s="139"/>
    </row>
    <row r="4" spans="1:3">
      <c r="A4" s="137"/>
      <c r="B4" s="138"/>
      <c r="C4" s="139"/>
    </row>
    <row r="5" spans="1:3">
      <c r="A5" s="137"/>
      <c r="B5" s="138"/>
      <c r="C5" s="139"/>
    </row>
    <row r="6" spans="1:3">
      <c r="A6" s="137"/>
      <c r="B6" s="138"/>
      <c r="C6" s="139"/>
    </row>
    <row r="7" spans="1:3">
      <c r="A7" s="137"/>
      <c r="B7" s="138"/>
      <c r="C7" s="139"/>
    </row>
    <row r="8" spans="1:3">
      <c r="A8" s="137"/>
      <c r="B8" s="138"/>
      <c r="C8" s="139"/>
    </row>
    <row r="9" spans="1:3">
      <c r="A9" s="137"/>
      <c r="B9" s="138"/>
      <c r="C9" s="139"/>
    </row>
    <row r="10" spans="1:3">
      <c r="A10" s="137"/>
      <c r="B10" s="138"/>
      <c r="C10" s="139"/>
    </row>
    <row r="11" spans="1:3">
      <c r="A11" s="137"/>
      <c r="B11" s="138"/>
      <c r="C11" s="139"/>
    </row>
    <row r="12" spans="1:3">
      <c r="A12" s="137"/>
      <c r="B12" s="138"/>
      <c r="C12" s="139"/>
    </row>
    <row r="13" spans="1:3">
      <c r="A13" s="137"/>
      <c r="B13" s="138"/>
      <c r="C13" s="139"/>
    </row>
    <row r="14" spans="1:3">
      <c r="A14" s="137"/>
      <c r="B14" s="138"/>
      <c r="C14" s="139"/>
    </row>
    <row r="15" spans="1:3">
      <c r="A15" s="137"/>
      <c r="B15" s="138"/>
      <c r="C15" s="139"/>
    </row>
    <row r="16" spans="1:3">
      <c r="A16" s="137"/>
      <c r="B16" s="138"/>
      <c r="C16" s="139"/>
    </row>
    <row r="17" spans="1:3">
      <c r="A17" s="137"/>
      <c r="B17" s="138"/>
      <c r="C17" s="139"/>
    </row>
    <row r="18" spans="1:3">
      <c r="A18" s="140"/>
      <c r="B18" s="141"/>
      <c r="C18" s="1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zoomScale="60" zoomScaleNormal="60" workbookViewId="0">
      <selection activeCell="C16" sqref="C16"/>
    </sheetView>
  </sheetViews>
  <sheetFormatPr defaultColWidth="9.28515625" defaultRowHeight="15"/>
  <cols>
    <col min="1" max="1" width="9.28515625" style="30"/>
    <col min="2" max="2" width="49.5703125" style="4" customWidth="1"/>
    <col min="3" max="3" width="27.28515625" style="4" customWidth="1"/>
    <col min="4" max="4" width="27.28515625" style="53" customWidth="1"/>
    <col min="5" max="8" width="27.28515625" style="4" customWidth="1"/>
    <col min="9" max="40" width="9.28515625" style="30"/>
    <col min="41" max="16384" width="9.28515625" style="4"/>
  </cols>
  <sheetData>
    <row r="1" spans="1:40" s="30" customFormat="1" ht="33" customHeight="1" thickBot="1">
      <c r="B1" s="31"/>
      <c r="D1" s="32"/>
    </row>
    <row r="2" spans="1:40" ht="40.5" customHeight="1" thickTop="1" thickBot="1">
      <c r="B2" s="406" t="s">
        <v>410</v>
      </c>
      <c r="C2" s="408" t="s">
        <v>55</v>
      </c>
      <c r="D2" s="409"/>
      <c r="E2" s="410" t="s">
        <v>56</v>
      </c>
      <c r="F2" s="411"/>
      <c r="G2" s="412" t="s">
        <v>57</v>
      </c>
      <c r="H2" s="412"/>
    </row>
    <row r="3" spans="1:40" ht="50.25" customHeight="1" thickTop="1" thickBot="1">
      <c r="B3" s="407"/>
      <c r="C3" s="33" t="s">
        <v>58</v>
      </c>
      <c r="D3" s="34" t="s">
        <v>59</v>
      </c>
      <c r="E3" s="35" t="s">
        <v>58</v>
      </c>
      <c r="F3" s="36" t="s">
        <v>59</v>
      </c>
      <c r="G3" s="54" t="s">
        <v>58</v>
      </c>
      <c r="H3" s="55" t="s">
        <v>59</v>
      </c>
    </row>
    <row r="4" spans="1:40" s="41" customFormat="1" ht="21.75" thickTop="1" thickBot="1">
      <c r="A4" s="37"/>
      <c r="B4" s="38" t="s">
        <v>60</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61</v>
      </c>
      <c r="C5" s="44">
        <f>'2a. % By Priority'!C5+'2a. % By Priority'!C6</f>
        <v>83</v>
      </c>
      <c r="D5" s="45">
        <f>'2a. % By Priority'!G5</f>
        <v>0.93258426966292141</v>
      </c>
      <c r="E5" s="46">
        <f>'2a. % By Priority'!C7</f>
        <v>6</v>
      </c>
      <c r="F5" s="36">
        <f>'2a. % By Priority'!G7</f>
        <v>6.741573033707865E-2</v>
      </c>
      <c r="G5" s="56">
        <f>'2a. % By Priority'!C10+'2a. % By Priority'!C11</f>
        <v>0</v>
      </c>
      <c r="H5" s="57">
        <f>'2a. % By Priority'!G10</f>
        <v>0</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1.75" thickTop="1" thickBot="1">
      <c r="A6" s="42"/>
      <c r="B6" s="48" t="s">
        <v>62</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411</v>
      </c>
      <c r="C7" s="44">
        <f>'2a. % By Priority'!C23+'2a. % By Priority'!C24</f>
        <v>3</v>
      </c>
      <c r="D7" s="45">
        <f>'2a. % By Priority'!G23</f>
        <v>1</v>
      </c>
      <c r="E7" s="52">
        <f>'2a. % By Priority'!C25</f>
        <v>0</v>
      </c>
      <c r="F7" s="36">
        <f>'2a. % By Priority'!G25</f>
        <v>0</v>
      </c>
      <c r="G7" s="56">
        <f>'2a. % By Priority'!C28+'2a. % By Priority'!C29</f>
        <v>0</v>
      </c>
      <c r="H7" s="57">
        <f>'2a. % By Priority'!G28</f>
        <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404</v>
      </c>
      <c r="C8" s="44">
        <f>'2a. % By Priority'!C41+'2a. % By Priority'!C42</f>
        <v>7</v>
      </c>
      <c r="D8" s="45">
        <f>'2a. % By Priority'!G41</f>
        <v>1</v>
      </c>
      <c r="E8" s="52">
        <f>'2a. % By Priority'!C43</f>
        <v>0</v>
      </c>
      <c r="F8" s="36">
        <f>'2a. % By Priority'!G43</f>
        <v>0</v>
      </c>
      <c r="G8" s="56">
        <f>'2a. % By Priority'!C46+'2a. % By Priority'!C47</f>
        <v>0</v>
      </c>
      <c r="H8" s="57">
        <f>'2a. % By Priority'!G46</f>
        <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405</v>
      </c>
      <c r="C9" s="44">
        <f>'2a. % By Priority'!C59+'2a. % By Priority'!C60</f>
        <v>6</v>
      </c>
      <c r="D9" s="45">
        <f>'2a. % By Priority'!G59</f>
        <v>0.8571428571428571</v>
      </c>
      <c r="E9" s="52">
        <f>'2a. % By Priority'!C61</f>
        <v>1</v>
      </c>
      <c r="F9" s="36">
        <f>'2a. % By Priority'!G61</f>
        <v>0.14285714285714285</v>
      </c>
      <c r="G9" s="56">
        <f>'2a. % By Priority'!C64+'2a. % By Priority'!C65</f>
        <v>0</v>
      </c>
      <c r="H9" s="57">
        <f>'2a. % By Priority'!G64</f>
        <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60" t="s">
        <v>406</v>
      </c>
      <c r="C10" s="44">
        <f>'2a. % By Priority'!C77+'2a. % By Priority'!C78</f>
        <v>3</v>
      </c>
      <c r="D10" s="45">
        <f>'2a. % By Priority'!G77</f>
        <v>1</v>
      </c>
      <c r="E10" s="52">
        <f>'2a. % By Priority'!C79</f>
        <v>0</v>
      </c>
      <c r="F10" s="36">
        <f>'2a. % By Priority'!G79</f>
        <v>0</v>
      </c>
      <c r="G10" s="56">
        <f>'2a. % By Priority'!C82+'2a. % By Priority'!C83</f>
        <v>0</v>
      </c>
      <c r="H10" s="57">
        <f>'2a. % By Priority'!G82</f>
        <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60" t="s">
        <v>407</v>
      </c>
      <c r="C11" s="44">
        <f>'2a. % By Priority'!C95+'2a. % By Priority'!C96</f>
        <v>3</v>
      </c>
      <c r="D11" s="45">
        <f>'2a. % By Priority'!G95</f>
        <v>1</v>
      </c>
      <c r="E11" s="52">
        <f>'2a. % By Priority'!C97</f>
        <v>0</v>
      </c>
      <c r="F11" s="36">
        <f>'2a. % By Priority'!G97</f>
        <v>0</v>
      </c>
      <c r="G11" s="56">
        <f>'2a. % By Priority'!C100+'2a. % By Priority'!C101</f>
        <v>0</v>
      </c>
      <c r="H11" s="57">
        <f>'2a. % By Priority'!G100</f>
        <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1.75" thickTop="1" thickBot="1">
      <c r="A12" s="42"/>
      <c r="B12" s="48" t="s">
        <v>415</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202</v>
      </c>
      <c r="C13" s="60">
        <f>'3a. % by Portfolio'!C5+'3a. % by Portfolio'!C6</f>
        <v>17</v>
      </c>
      <c r="D13" s="61">
        <f>'3a. % by Portfolio'!G5</f>
        <v>0.94444444444444442</v>
      </c>
      <c r="E13" s="62">
        <f>'3a. % by Portfolio'!C7</f>
        <v>1</v>
      </c>
      <c r="F13" s="63">
        <f>'3a. % by Portfolio'!G7</f>
        <v>5.5555555555555552E-2</v>
      </c>
      <c r="G13" s="64">
        <f>'3a. % by Portfolio'!C10+'3a. % by Portfolio'!C11</f>
        <v>0</v>
      </c>
      <c r="H13" s="65">
        <f>'3a. % by Portfolio'!G10</f>
        <v>0</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110</v>
      </c>
      <c r="C14" s="60">
        <f>'3a. % by Portfolio'!C24+'3a. % by Portfolio'!C25</f>
        <v>15</v>
      </c>
      <c r="D14" s="61">
        <f>'3a. % by Portfolio'!G24</f>
        <v>0.83333333333333326</v>
      </c>
      <c r="E14" s="66">
        <f>'3a. % by Portfolio'!C26</f>
        <v>3</v>
      </c>
      <c r="F14" s="63">
        <f>'3a. % by Portfolio'!G26</f>
        <v>0.16666666666666666</v>
      </c>
      <c r="G14" s="64">
        <f>'3a. % by Portfolio'!C29+'3a. % by Portfolio'!C30</f>
        <v>0</v>
      </c>
      <c r="H14" s="65">
        <f>'3a. % by Portfolio'!G29</f>
        <v>0</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204</v>
      </c>
      <c r="C15" s="60">
        <f>'3a. % by Portfolio'!C42+'3a. % by Portfolio'!C43</f>
        <v>9</v>
      </c>
      <c r="D15" s="61">
        <f>'3a. % by Portfolio'!G42</f>
        <v>1</v>
      </c>
      <c r="E15" s="66">
        <f>'3a. % by Portfolio'!C44</f>
        <v>0</v>
      </c>
      <c r="F15" s="63">
        <f>'3a. % by Portfolio'!G44</f>
        <v>0</v>
      </c>
      <c r="G15" s="64">
        <f>'3a. % by Portfolio'!C47+'3a. % by Portfolio'!C48</f>
        <v>0</v>
      </c>
      <c r="H15" s="65">
        <f>'3a. % by Portfolio'!G47</f>
        <v>0</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414</v>
      </c>
      <c r="C16" s="60">
        <f>'3a. % by Portfolio'!C60+'3a. % by Portfolio'!C61</f>
        <v>10</v>
      </c>
      <c r="D16" s="61">
        <f>'3a. % by Portfolio'!G60</f>
        <v>1</v>
      </c>
      <c r="E16" s="66">
        <f>'3a. % by Portfolio'!C62</f>
        <v>0</v>
      </c>
      <c r="F16" s="63">
        <f>'3a. % by Portfolio'!G62</f>
        <v>0</v>
      </c>
      <c r="G16" s="64">
        <f>'3a. % by Portfolio'!C65+'3a. % by Portfolio'!C66</f>
        <v>0</v>
      </c>
      <c r="H16" s="65">
        <f>'3a. % by Portfolio'!G65</f>
        <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201</v>
      </c>
      <c r="C17" s="60">
        <f>'3a. % by Portfolio'!C78+'3a. % by Portfolio'!C79</f>
        <v>16</v>
      </c>
      <c r="D17" s="61">
        <f>'3a. % by Portfolio'!G78</f>
        <v>0.88888888888888884</v>
      </c>
      <c r="E17" s="66">
        <f>'3a. % by Portfolio'!C80</f>
        <v>2</v>
      </c>
      <c r="F17" s="63">
        <f>'3a. % by Portfolio'!G80</f>
        <v>0.1111111111111111</v>
      </c>
      <c r="G17" s="64">
        <f>'3a. % by Portfolio'!C83+'3a. % by Portfolio'!C84</f>
        <v>0</v>
      </c>
      <c r="H17" s="65">
        <f>'3a. % by Portfolio'!G83</f>
        <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109</v>
      </c>
      <c r="C18" s="60">
        <f>'3a. % by Portfolio'!C96+'3a. % by Portfolio'!C97</f>
        <v>16</v>
      </c>
      <c r="D18" s="61">
        <f>'3a. % by Portfolio'!G96</f>
        <v>1</v>
      </c>
      <c r="E18" s="66">
        <f>'3a. % by Portfolio'!C98</f>
        <v>0</v>
      </c>
      <c r="F18" s="63">
        <f>'3a. % by Portfolio'!G98</f>
        <v>0</v>
      </c>
      <c r="G18" s="64">
        <f>'3a. % by Portfolio'!C101+'3a. % by Portfolio'!C102</f>
        <v>0</v>
      </c>
      <c r="H18" s="65">
        <f>'3a. % by Portfolio'!G101</f>
        <v>0</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75" thickTop="1">
      <c r="D19" s="32"/>
      <c r="E19" s="261"/>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zoomScale="60" zoomScaleNormal="60" workbookViewId="0">
      <selection activeCell="B2" sqref="B2:B3"/>
    </sheetView>
  </sheetViews>
  <sheetFormatPr defaultColWidth="9.28515625" defaultRowHeight="15"/>
  <cols>
    <col min="1" max="1" width="9.28515625" style="30"/>
    <col min="2" max="2" width="49.5703125" style="4" customWidth="1"/>
    <col min="3" max="3" width="27.28515625" style="4" customWidth="1"/>
    <col min="4" max="4" width="27.28515625" style="53" customWidth="1"/>
    <col min="5" max="8" width="27.28515625" style="4" customWidth="1"/>
    <col min="9" max="40" width="9.28515625" style="30"/>
    <col min="41" max="16384" width="9.28515625" style="4"/>
  </cols>
  <sheetData>
    <row r="1" spans="1:40" s="30" customFormat="1" ht="33" customHeight="1" thickBot="1">
      <c r="B1" s="31"/>
      <c r="D1" s="32"/>
    </row>
    <row r="2" spans="1:40" ht="40.5" customHeight="1" thickTop="1" thickBot="1">
      <c r="B2" s="406" t="s">
        <v>420</v>
      </c>
      <c r="C2" s="408" t="s">
        <v>55</v>
      </c>
      <c r="D2" s="409"/>
      <c r="E2" s="410" t="s">
        <v>56</v>
      </c>
      <c r="F2" s="411"/>
      <c r="G2" s="412" t="s">
        <v>57</v>
      </c>
      <c r="H2" s="412"/>
    </row>
    <row r="3" spans="1:40" ht="50.25" customHeight="1" thickTop="1" thickBot="1">
      <c r="B3" s="407"/>
      <c r="C3" s="33" t="s">
        <v>58</v>
      </c>
      <c r="D3" s="34" t="s">
        <v>59</v>
      </c>
      <c r="E3" s="35" t="s">
        <v>58</v>
      </c>
      <c r="F3" s="36" t="s">
        <v>59</v>
      </c>
      <c r="G3" s="54" t="s">
        <v>58</v>
      </c>
      <c r="H3" s="55" t="s">
        <v>59</v>
      </c>
    </row>
    <row r="4" spans="1:40" s="41" customFormat="1" ht="21.75" thickTop="1" thickBot="1">
      <c r="A4" s="37"/>
      <c r="B4" s="38" t="s">
        <v>60</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61</v>
      </c>
      <c r="C5" s="44">
        <f>'2a. % By Priority'!J5+'2a. % By Priority'!J6</f>
        <v>114</v>
      </c>
      <c r="D5" s="45">
        <f>'2a. % By Priority'!N5</f>
        <v>0.94214876033057848</v>
      </c>
      <c r="E5" s="46">
        <f>'2a. % By Priority'!J7</f>
        <v>2</v>
      </c>
      <c r="F5" s="36">
        <f>'2a. % By Priority'!N7</f>
        <v>1.6528925619834711E-2</v>
      </c>
      <c r="G5" s="56">
        <f>'2a. % By Priority'!J10+'2a. % By Priority'!J11</f>
        <v>5</v>
      </c>
      <c r="H5" s="57">
        <f>'2a. % By Priority'!N10</f>
        <v>4.1322314049586778E-2</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1.75" thickTop="1" thickBot="1">
      <c r="A6" s="42"/>
      <c r="B6" s="48" t="s">
        <v>62</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411</v>
      </c>
      <c r="C7" s="44">
        <f>'2a. % By Priority'!J23+'2a. % By Priority'!J24</f>
        <v>6</v>
      </c>
      <c r="D7" s="45">
        <f>'2a. % By Priority'!N23</f>
        <v>1</v>
      </c>
      <c r="E7" s="52">
        <f>'2a. % By Priority'!J25</f>
        <v>0</v>
      </c>
      <c r="F7" s="36">
        <f>'2a. % By Priority'!N25</f>
        <v>0</v>
      </c>
      <c r="G7" s="56">
        <f>'2a. % By Priority'!J28+'2a. % By Priority'!J29</f>
        <v>0</v>
      </c>
      <c r="H7" s="57">
        <f>'2a. % By Priority'!N28</f>
        <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404</v>
      </c>
      <c r="C8" s="44">
        <f>'2a. % By Priority'!J41+'2a. % By Priority'!J42</f>
        <v>10</v>
      </c>
      <c r="D8" s="45">
        <f>'2a. % By Priority'!N41</f>
        <v>1</v>
      </c>
      <c r="E8" s="52">
        <f>'2a. % By Priority'!J43</f>
        <v>0</v>
      </c>
      <c r="F8" s="36">
        <f>'2a. % By Priority'!N43</f>
        <v>0</v>
      </c>
      <c r="G8" s="56">
        <f>'2a. % By Priority'!J46+'2a. % By Priority'!J47</f>
        <v>0</v>
      </c>
      <c r="H8" s="57">
        <f>'2a. % By Priority'!N46</f>
        <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405</v>
      </c>
      <c r="C9" s="44">
        <f>'2a. % By Priority'!J59+'2a. % By Priority'!J60</f>
        <v>10</v>
      </c>
      <c r="D9" s="45">
        <f>'2a. % By Priority'!N59</f>
        <v>1</v>
      </c>
      <c r="E9" s="52">
        <f>'2a. % By Priority'!J61</f>
        <v>0</v>
      </c>
      <c r="F9" s="36">
        <f>'2a. % By Priority'!N61</f>
        <v>0</v>
      </c>
      <c r="G9" s="56">
        <f>'2a. % By Priority'!J64+'2a. % By Priority'!J65</f>
        <v>0</v>
      </c>
      <c r="H9" s="57">
        <f>'2a. % By Priority'!N64</f>
        <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60" t="s">
        <v>406</v>
      </c>
      <c r="C10" s="44">
        <f>'2a. % By Priority'!J77+'2a. % By Priority'!J78</f>
        <v>4</v>
      </c>
      <c r="D10" s="45">
        <f>'2a. % By Priority'!N77</f>
        <v>1</v>
      </c>
      <c r="E10" s="52">
        <f>'2a. % By Priority'!J79</f>
        <v>0</v>
      </c>
      <c r="F10" s="36">
        <f>'2a. % By Priority'!N79</f>
        <v>0</v>
      </c>
      <c r="G10" s="56">
        <f>'2a. % By Priority'!J82+'2a. % By Priority'!J83</f>
        <v>0</v>
      </c>
      <c r="H10" s="57">
        <f>'2a. % By Priority'!N82</f>
        <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60" t="s">
        <v>407</v>
      </c>
      <c r="C11" s="44">
        <f>'2a. % By Priority'!J95+'2a. % By Priority'!J96</f>
        <v>5</v>
      </c>
      <c r="D11" s="45">
        <f>'2a. % By Priority'!N95</f>
        <v>1</v>
      </c>
      <c r="E11" s="52">
        <f>'2a. % By Priority'!J97</f>
        <v>0</v>
      </c>
      <c r="F11" s="36">
        <f>'2a. % By Priority'!N97</f>
        <v>0</v>
      </c>
      <c r="G11" s="56">
        <f>'2a. % By Priority'!J100+'2a. % By Priority'!J101</f>
        <v>0</v>
      </c>
      <c r="H11" s="57">
        <f>'2a. % By Priority'!N100</f>
        <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1.75" thickTop="1" thickBot="1">
      <c r="A12" s="42"/>
      <c r="B12" s="48" t="s">
        <v>415</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202</v>
      </c>
      <c r="C13" s="60">
        <f>'3a. % by Portfolio'!J5+'3a. % by Portfolio'!J6</f>
        <v>21</v>
      </c>
      <c r="D13" s="61">
        <f>'3a. % by Portfolio'!N5</f>
        <v>0.95454545454545459</v>
      </c>
      <c r="E13" s="62">
        <f>'3a. % by Portfolio'!J7</f>
        <v>0</v>
      </c>
      <c r="F13" s="63">
        <f>'3a. % by Portfolio'!N7</f>
        <v>0</v>
      </c>
      <c r="G13" s="64">
        <f>'3a. % by Portfolio'!J10+'3a. % by Portfolio'!J11</f>
        <v>1</v>
      </c>
      <c r="H13" s="65">
        <f>'3a. % by Portfolio'!N10</f>
        <v>4.5454545454545456E-2</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110</v>
      </c>
      <c r="C14" s="60">
        <f>'3a. % by Portfolio'!J24+'3a. % by Portfolio'!J25</f>
        <v>28</v>
      </c>
      <c r="D14" s="61">
        <f>'3a. % by Portfolio'!N24</f>
        <v>0.90322580645161288</v>
      </c>
      <c r="E14" s="66">
        <f>'3a. % by Portfolio'!J26</f>
        <v>2</v>
      </c>
      <c r="F14" s="63">
        <f>'3a. % by Portfolio'!N26</f>
        <v>6.4516129032258063E-2</v>
      </c>
      <c r="G14" s="64">
        <f>'3a. % by Portfolio'!J29+'3a. % by Portfolio'!J30</f>
        <v>1</v>
      </c>
      <c r="H14" s="65">
        <f>'3a. % by Portfolio'!N29</f>
        <v>3.2258064516129031E-2</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204</v>
      </c>
      <c r="C15" s="60">
        <f>'3a. % by Portfolio'!J42+'3a. % by Portfolio'!J43</f>
        <v>12</v>
      </c>
      <c r="D15" s="61">
        <f>'3a. % by Portfolio'!N42</f>
        <v>1</v>
      </c>
      <c r="E15" s="66">
        <f>'3a. % by Portfolio'!J44</f>
        <v>0</v>
      </c>
      <c r="F15" s="63">
        <f>'3a. % by Portfolio'!N44</f>
        <v>0</v>
      </c>
      <c r="G15" s="64">
        <f>'3a. % by Portfolio'!J47+'3a. % by Portfolio'!J48</f>
        <v>0</v>
      </c>
      <c r="H15" s="65">
        <f>'3a. % by Portfolio'!N47</f>
        <v>0</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414</v>
      </c>
      <c r="C16" s="60">
        <f>'3a. % by Portfolio'!J60+'3a. % by Portfolio'!J61</f>
        <v>14</v>
      </c>
      <c r="D16" s="61">
        <f>'3a. % by Portfolio'!N60</f>
        <v>1</v>
      </c>
      <c r="E16" s="66">
        <f>'3a. % by Portfolio'!J62</f>
        <v>0</v>
      </c>
      <c r="F16" s="63">
        <f>'3a. % by Portfolio'!N62</f>
        <v>0</v>
      </c>
      <c r="G16" s="64">
        <f>'3a. % by Portfolio'!J65+'3a. % by Portfolio'!J66</f>
        <v>0</v>
      </c>
      <c r="H16" s="65">
        <f>'3a. % by Portfolio'!N65</f>
        <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201</v>
      </c>
      <c r="C17" s="60">
        <f>'3a. % by Portfolio'!J78+'3a. % by Portfolio'!J79</f>
        <v>20</v>
      </c>
      <c r="D17" s="61">
        <f>'3a. % by Portfolio'!N78</f>
        <v>0.90909090909090906</v>
      </c>
      <c r="E17" s="66">
        <f>'3a. % by Portfolio'!J80</f>
        <v>0</v>
      </c>
      <c r="F17" s="63">
        <f>'3a. % by Portfolio'!N80</f>
        <v>0</v>
      </c>
      <c r="G17" s="64">
        <f>'3a. % by Portfolio'!J83+'3a. % by Portfolio'!J84</f>
        <v>2</v>
      </c>
      <c r="H17" s="65">
        <f>'3a. % by Portfolio'!N83</f>
        <v>9.0909090909090912E-2</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109</v>
      </c>
      <c r="C18" s="60">
        <f>'3a. % by Portfolio'!J96+'3a. % by Portfolio'!J97</f>
        <v>19</v>
      </c>
      <c r="D18" s="61">
        <f>'3a. % by Portfolio'!N96</f>
        <v>0.95</v>
      </c>
      <c r="E18" s="66">
        <f>'3a. % by Portfolio'!J98</f>
        <v>0</v>
      </c>
      <c r="F18" s="63">
        <f>'3a. % by Portfolio'!N98</f>
        <v>0</v>
      </c>
      <c r="G18" s="64">
        <f>'3a. % by Portfolio'!J101+'3a. % by Portfolio'!J102</f>
        <v>1</v>
      </c>
      <c r="H18" s="65">
        <f>'3a. % by Portfolio'!N101</f>
        <v>0.05</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75" thickTop="1">
      <c r="D19" s="32"/>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sheetProtection algorithmName="SHA-512" hashValue="CcfTKf29rjnSFMJaTn14HSxCJZiJCt2ZipVDbPbkZUfViuQSZPLvGDdwWkuQp6kYwWO9+UU33ipCtl5UpwjKCw==" saltValue="tVi8PYasMKs/SA3ltYdNzg==" spinCount="100000" sheet="1" objects="1" scenarios="1"/>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9"/>
  <sheetViews>
    <sheetView zoomScale="60" zoomScaleNormal="60" workbookViewId="0">
      <selection activeCell="B2" sqref="B2:B3"/>
    </sheetView>
  </sheetViews>
  <sheetFormatPr defaultColWidth="9.28515625" defaultRowHeight="15"/>
  <cols>
    <col min="1" max="1" width="9.28515625" style="30"/>
    <col min="2" max="2" width="49.5703125" style="4" customWidth="1"/>
    <col min="3" max="3" width="27.28515625" style="4" customWidth="1"/>
    <col min="4" max="4" width="27.28515625" style="53" customWidth="1"/>
    <col min="5" max="8" width="27.28515625" style="4" customWidth="1"/>
    <col min="9" max="40" width="9.28515625" style="30"/>
    <col min="41" max="16384" width="9.28515625" style="4"/>
  </cols>
  <sheetData>
    <row r="1" spans="1:40" s="30" customFormat="1" ht="33" customHeight="1" thickBot="1">
      <c r="B1" s="31"/>
      <c r="D1" s="32"/>
    </row>
    <row r="2" spans="1:40" ht="40.5" customHeight="1" thickTop="1" thickBot="1">
      <c r="B2" s="406" t="s">
        <v>421</v>
      </c>
      <c r="C2" s="408" t="s">
        <v>55</v>
      </c>
      <c r="D2" s="409"/>
      <c r="E2" s="410" t="s">
        <v>56</v>
      </c>
      <c r="F2" s="411"/>
      <c r="G2" s="412" t="s">
        <v>57</v>
      </c>
      <c r="H2" s="412"/>
    </row>
    <row r="3" spans="1:40" ht="50.25" customHeight="1" thickTop="1" thickBot="1">
      <c r="B3" s="407"/>
      <c r="C3" s="33" t="s">
        <v>58</v>
      </c>
      <c r="D3" s="34" t="s">
        <v>59</v>
      </c>
      <c r="E3" s="35" t="s">
        <v>58</v>
      </c>
      <c r="F3" s="36" t="s">
        <v>59</v>
      </c>
      <c r="G3" s="54" t="s">
        <v>58</v>
      </c>
      <c r="H3" s="55" t="s">
        <v>59</v>
      </c>
    </row>
    <row r="4" spans="1:40" s="41" customFormat="1" ht="21.75" thickTop="1" thickBot="1">
      <c r="A4" s="37"/>
      <c r="B4" s="38" t="s">
        <v>60</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61</v>
      </c>
      <c r="C5" s="44">
        <f>'2a. % By Priority'!Q5+'2a. % By Priority'!Q6</f>
        <v>118</v>
      </c>
      <c r="D5" s="45">
        <f>'2a. % By Priority'!U5</f>
        <v>0.93650793650793651</v>
      </c>
      <c r="E5" s="46">
        <f>'2a. % By Priority'!Q7</f>
        <v>3</v>
      </c>
      <c r="F5" s="36">
        <f>'2a. % By Priority'!U7</f>
        <v>2.3809523809523808E-2</v>
      </c>
      <c r="G5" s="56">
        <f>'2a. % By Priority'!Q10+'2a. % By Priority'!Q11</f>
        <v>5</v>
      </c>
      <c r="H5" s="57">
        <f>'2a. % By Priority'!U10</f>
        <v>3.968253968253968E-2</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1.75" thickTop="1" thickBot="1">
      <c r="A6" s="42"/>
      <c r="B6" s="48" t="s">
        <v>62</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411</v>
      </c>
      <c r="C7" s="44">
        <f>'2a. % By Priority'!Q23+'2a. % By Priority'!Q24</f>
        <v>6</v>
      </c>
      <c r="D7" s="45">
        <f>'2a. % By Priority'!U23</f>
        <v>1</v>
      </c>
      <c r="E7" s="52">
        <f>'2a. % By Priority'!Q25</f>
        <v>0</v>
      </c>
      <c r="F7" s="36">
        <f>'2a. % By Priority'!U25</f>
        <v>0</v>
      </c>
      <c r="G7" s="56">
        <f>'2a. % By Priority'!Q28+'2a. % By Priority'!Q29</f>
        <v>0</v>
      </c>
      <c r="H7" s="57">
        <f>'2a. % By Priority'!U28</f>
        <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404</v>
      </c>
      <c r="C8" s="44">
        <f>'2a. % By Priority'!Q41+'2a. % By Priority'!Q42</f>
        <v>10</v>
      </c>
      <c r="D8" s="45">
        <f>'2a. % By Priority'!U41</f>
        <v>1</v>
      </c>
      <c r="E8" s="52">
        <f>'2a. % By Priority'!Q43</f>
        <v>0</v>
      </c>
      <c r="F8" s="36">
        <f>'2a. % By Priority'!U43</f>
        <v>0</v>
      </c>
      <c r="G8" s="56">
        <f>'2a. % By Priority'!Q46+'2a. % By Priority'!Q47</f>
        <v>0</v>
      </c>
      <c r="H8" s="57">
        <f>'2a. % By Priority'!U46</f>
        <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405</v>
      </c>
      <c r="C9" s="44">
        <f>'2a. % By Priority'!Q59+'2a. % By Priority'!Q60</f>
        <v>11</v>
      </c>
      <c r="D9" s="45">
        <f>'2a. % By Priority'!U59</f>
        <v>1</v>
      </c>
      <c r="E9" s="52">
        <f>'2a. % By Priority'!Q61</f>
        <v>0</v>
      </c>
      <c r="F9" s="36">
        <f>'2a. % By Priority'!U61</f>
        <v>0</v>
      </c>
      <c r="G9" s="56">
        <f>'2a. % By Priority'!Q64+'2a. % By Priority'!Q65</f>
        <v>0</v>
      </c>
      <c r="H9" s="57">
        <f>'2a. % By Priority'!U64</f>
        <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60" t="s">
        <v>406</v>
      </c>
      <c r="C10" s="44">
        <f>'2a. % By Priority'!Q77+'2a. % By Priority'!Q78</f>
        <v>4</v>
      </c>
      <c r="D10" s="45">
        <f>'2a. % By Priority'!U77</f>
        <v>1</v>
      </c>
      <c r="E10" s="52">
        <f>'2a. % By Priority'!Q79</f>
        <v>0</v>
      </c>
      <c r="F10" s="36">
        <f>'2a. % By Priority'!U79</f>
        <v>0</v>
      </c>
      <c r="G10" s="56">
        <f>'2a. % By Priority'!Q82+'2a. % By Priority'!Q83</f>
        <v>0</v>
      </c>
      <c r="H10" s="57">
        <f>'2a. % By Priority'!U82</f>
        <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60" t="s">
        <v>407</v>
      </c>
      <c r="C11" s="44">
        <f>'2a. % By Priority'!Q95+'2a. % By Priority'!Q96</f>
        <v>5</v>
      </c>
      <c r="D11" s="45">
        <f>'2a. % By Priority'!U95</f>
        <v>1</v>
      </c>
      <c r="E11" s="52">
        <f>'2a. % By Priority'!Q97</f>
        <v>0</v>
      </c>
      <c r="F11" s="36">
        <f>'2a. % By Priority'!U97</f>
        <v>0</v>
      </c>
      <c r="G11" s="56">
        <f>'2a. % By Priority'!Q100+'2a. % By Priority'!Q101</f>
        <v>0</v>
      </c>
      <c r="H11" s="57">
        <f>'2a. % By Priority'!U100</f>
        <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37.5" customHeight="1" thickTop="1" thickBot="1">
      <c r="A12" s="42"/>
      <c r="B12" s="260" t="s">
        <v>412</v>
      </c>
      <c r="C12" s="44">
        <f>'2a. % By Priority'!Q113+'2a. % By Priority'!Q114</f>
        <v>82</v>
      </c>
      <c r="D12" s="45">
        <f>'2a. % By Priority'!U113</f>
        <v>0.91111111111111109</v>
      </c>
      <c r="E12" s="52">
        <f>'2a. % By Priority'!Q115</f>
        <v>3</v>
      </c>
      <c r="F12" s="36">
        <f>'2a. % By Priority'!U115</f>
        <v>3.3333333333333333E-2</v>
      </c>
      <c r="G12" s="56">
        <f>'2a. % By Priority'!Q118+'2a. % By Priority'!Q119</f>
        <v>5</v>
      </c>
      <c r="H12" s="57">
        <f>'2a. % By Priority'!U118</f>
        <v>5.5555555555555552E-2</v>
      </c>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21.75" thickTop="1" thickBot="1">
      <c r="A13" s="42"/>
      <c r="B13" s="48" t="s">
        <v>415</v>
      </c>
      <c r="C13" s="49"/>
      <c r="D13" s="50"/>
      <c r="E13" s="49"/>
      <c r="F13" s="50"/>
      <c r="G13" s="49"/>
      <c r="H13" s="51"/>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202</v>
      </c>
      <c r="C14" s="60">
        <f>'3a. % by Portfolio'!Q5+'3a. % by Portfolio'!Q6</f>
        <v>22</v>
      </c>
      <c r="D14" s="61">
        <f>'3a. % by Portfolio'!U5</f>
        <v>0.95652173913043481</v>
      </c>
      <c r="E14" s="62">
        <f>'3a. % by Portfolio'!Q7</f>
        <v>0</v>
      </c>
      <c r="F14" s="63">
        <f>'3a. % by Portfolio'!U7</f>
        <v>0</v>
      </c>
      <c r="G14" s="64">
        <f>'3a. % by Portfolio'!Q10+'3a. % by Portfolio'!Q11</f>
        <v>1</v>
      </c>
      <c r="H14" s="65">
        <f>'3a. % by Portfolio'!U10</f>
        <v>4.3478260869565216E-2</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110</v>
      </c>
      <c r="C15" s="60">
        <f>'3a. % by Portfolio'!Q24+'3a. % by Portfolio'!Q25</f>
        <v>30</v>
      </c>
      <c r="D15" s="61">
        <f>'3a. % by Portfolio'!U24</f>
        <v>0.90909090909090917</v>
      </c>
      <c r="E15" s="66">
        <f>'3a. % by Portfolio'!Q26</f>
        <v>2</v>
      </c>
      <c r="F15" s="63">
        <f>'3a. % by Portfolio'!U26</f>
        <v>6.0606060606060608E-2</v>
      </c>
      <c r="G15" s="64">
        <f>'3a. % by Portfolio'!Q29+'3a. % by Portfolio'!Q30</f>
        <v>1</v>
      </c>
      <c r="H15" s="65">
        <f>'3a. % by Portfolio'!U29</f>
        <v>3.0303030303030304E-2</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204</v>
      </c>
      <c r="C16" s="60">
        <f>'3a. % by Portfolio'!Q42+'3a. % by Portfolio'!Q43</f>
        <v>13</v>
      </c>
      <c r="D16" s="61">
        <f>'3a. % by Portfolio'!U42</f>
        <v>1</v>
      </c>
      <c r="E16" s="66">
        <f>'3a. % by Portfolio'!Q44</f>
        <v>0</v>
      </c>
      <c r="F16" s="63">
        <f>'3a. % by Portfolio'!U44</f>
        <v>0</v>
      </c>
      <c r="G16" s="64">
        <f>'3a. % by Portfolio'!Q47+'3a. % by Portfolio'!Q48</f>
        <v>0</v>
      </c>
      <c r="H16" s="65">
        <f>'3a. % by Portfolio'!U47</f>
        <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414</v>
      </c>
      <c r="C17" s="60">
        <f>'3a. % by Portfolio'!Q60+'3a. % by Portfolio'!Q61</f>
        <v>14</v>
      </c>
      <c r="D17" s="61">
        <f>'3a. % by Portfolio'!U60</f>
        <v>1</v>
      </c>
      <c r="E17" s="66">
        <f>'3a. % by Portfolio'!Q62</f>
        <v>0</v>
      </c>
      <c r="F17" s="63">
        <f>'3a. % by Portfolio'!U62</f>
        <v>0</v>
      </c>
      <c r="G17" s="64">
        <f>'3a. % by Portfolio'!Q65+'3a. % by Portfolio'!Q66</f>
        <v>0</v>
      </c>
      <c r="H17" s="65">
        <f>'3a. % by Portfolio'!U65</f>
        <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201</v>
      </c>
      <c r="C18" s="60">
        <f>'3a. % by Portfolio'!Q78+'3a. % by Portfolio'!Q79</f>
        <v>20</v>
      </c>
      <c r="D18" s="61">
        <f>'3a. % by Portfolio'!U78</f>
        <v>0.86956521739130432</v>
      </c>
      <c r="E18" s="66">
        <f>'3a. % by Portfolio'!Q80</f>
        <v>1</v>
      </c>
      <c r="F18" s="63">
        <f>'3a. % by Portfolio'!U80</f>
        <v>4.3478260869565216E-2</v>
      </c>
      <c r="G18" s="64">
        <f>'3a. % by Portfolio'!Q83+'3a. % by Portfolio'!Q84</f>
        <v>2</v>
      </c>
      <c r="H18" s="65">
        <f>'3a. % by Portfolio'!U83</f>
        <v>8.6956521739130432E-2</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47" customFormat="1" ht="37.5" customHeight="1" thickTop="1" thickBot="1">
      <c r="A19" s="42"/>
      <c r="B19" s="59" t="s">
        <v>109</v>
      </c>
      <c r="C19" s="60">
        <f>'3a. % by Portfolio'!Q96+'3a. % by Portfolio'!Q97</f>
        <v>19</v>
      </c>
      <c r="D19" s="61">
        <f>'3a. % by Portfolio'!U96</f>
        <v>0.95</v>
      </c>
      <c r="E19" s="66">
        <f>'3a. % by Portfolio'!Q98</f>
        <v>0</v>
      </c>
      <c r="F19" s="63">
        <f>'3a. % by Portfolio'!U98</f>
        <v>0</v>
      </c>
      <c r="G19" s="64">
        <f>'3a. % by Portfolio'!Q101+'3a. % by Portfolio'!Q102</f>
        <v>1</v>
      </c>
      <c r="H19" s="65">
        <f>'3a. % by Portfolio'!U101</f>
        <v>0.05</v>
      </c>
      <c r="I19" s="42"/>
      <c r="J19" s="226"/>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row>
    <row r="20" spans="1:40" s="30" customFormat="1" ht="15.75" thickTop="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row r="49" spans="4:4" s="30" customFormat="1">
      <c r="D49"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9"/>
  <sheetViews>
    <sheetView zoomScale="60" zoomScaleNormal="60" workbookViewId="0">
      <selection activeCell="R22" sqref="R22"/>
    </sheetView>
  </sheetViews>
  <sheetFormatPr defaultColWidth="9.28515625" defaultRowHeight="15"/>
  <cols>
    <col min="1" max="1" width="9.28515625" style="30"/>
    <col min="2" max="2" width="49.5703125" style="4" customWidth="1"/>
    <col min="3" max="3" width="27.28515625" style="4" customWidth="1"/>
    <col min="4" max="4" width="27.28515625" style="53" customWidth="1"/>
    <col min="5" max="8" width="27.28515625" style="4" customWidth="1"/>
    <col min="9" max="40" width="9.28515625" style="30"/>
    <col min="41" max="16384" width="9.28515625" style="4"/>
  </cols>
  <sheetData>
    <row r="1" spans="1:40" s="30" customFormat="1" ht="33" customHeight="1" thickBot="1">
      <c r="B1" s="31"/>
      <c r="D1" s="32"/>
    </row>
    <row r="2" spans="1:40" ht="40.5" customHeight="1" thickTop="1" thickBot="1">
      <c r="B2" s="406" t="s">
        <v>422</v>
      </c>
      <c r="C2" s="408" t="s">
        <v>55</v>
      </c>
      <c r="D2" s="409"/>
      <c r="E2" s="410" t="s">
        <v>56</v>
      </c>
      <c r="F2" s="411"/>
      <c r="G2" s="412" t="s">
        <v>57</v>
      </c>
      <c r="H2" s="412"/>
    </row>
    <row r="3" spans="1:40" ht="50.25" customHeight="1" thickTop="1" thickBot="1">
      <c r="B3" s="407"/>
      <c r="C3" s="33" t="s">
        <v>58</v>
      </c>
      <c r="D3" s="34" t="s">
        <v>59</v>
      </c>
      <c r="E3" s="35" t="s">
        <v>58</v>
      </c>
      <c r="F3" s="36" t="s">
        <v>59</v>
      </c>
      <c r="G3" s="54" t="s">
        <v>58</v>
      </c>
      <c r="H3" s="55" t="s">
        <v>59</v>
      </c>
    </row>
    <row r="4" spans="1:40" s="41" customFormat="1" ht="21.75" thickTop="1" thickBot="1">
      <c r="A4" s="37"/>
      <c r="B4" s="38" t="s">
        <v>60</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61</v>
      </c>
      <c r="C5" s="44">
        <f>'2a. % By Priority'!X5+'2a. % By Priority'!X6</f>
        <v>122</v>
      </c>
      <c r="D5" s="45">
        <f>'2a. % By Priority'!AB5</f>
        <v>0.93846153846153846</v>
      </c>
      <c r="E5" s="46">
        <f>'2a. % By Priority'!X7+'2a. % By Priority'!X8+'2a. % By Priority'!X9</f>
        <v>2</v>
      </c>
      <c r="F5" s="36">
        <f>'2a. % By Priority'!AB7</f>
        <v>1.5384615384615385E-2</v>
      </c>
      <c r="G5" s="56">
        <f>'2a. % By Priority'!X10+'2a. % By Priority'!X11</f>
        <v>6</v>
      </c>
      <c r="H5" s="57">
        <f>'2a. % By Priority'!AB10</f>
        <v>4.6153846153846156E-2</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1.75" thickTop="1" thickBot="1">
      <c r="A6" s="42"/>
      <c r="B6" s="48" t="s">
        <v>62</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411</v>
      </c>
      <c r="C7" s="44">
        <f>'2a. % By Priority'!X23+'2a. % By Priority'!X24</f>
        <v>6</v>
      </c>
      <c r="D7" s="45">
        <f>'2a. % By Priority'!AB23</f>
        <v>1</v>
      </c>
      <c r="E7" s="52">
        <f>'2a. % By Priority'!X25+'2a. % By Priority'!X26+'2a. % By Priority'!X27</f>
        <v>0</v>
      </c>
      <c r="F7" s="36">
        <f>'2a. % By Priority'!AB25</f>
        <v>0</v>
      </c>
      <c r="G7" s="56">
        <f>'2a. % By Priority'!X28+'2a. % By Priority'!X29</f>
        <v>0</v>
      </c>
      <c r="H7" s="57">
        <f>'2a. % By Priority'!AB28</f>
        <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404</v>
      </c>
      <c r="C8" s="44">
        <f>'2a. % By Priority'!X41+'2a. % By Priority'!X42</f>
        <v>11</v>
      </c>
      <c r="D8" s="45">
        <f>'2a. % By Priority'!AB41</f>
        <v>1</v>
      </c>
      <c r="E8" s="52">
        <f>'2a. % By Priority'!X43+'2a. % By Priority'!X44+'2a. % By Priority'!X45</f>
        <v>0</v>
      </c>
      <c r="F8" s="36">
        <f>'2a. % By Priority'!AB43</f>
        <v>0</v>
      </c>
      <c r="G8" s="56">
        <f>'2a. % By Priority'!X46+'2a. % By Priority'!X47</f>
        <v>0</v>
      </c>
      <c r="H8" s="57">
        <f>'2a. % By Priority'!AB46</f>
        <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405</v>
      </c>
      <c r="C9" s="44">
        <f>'2a. % By Priority'!X59+'2a. % By Priority'!X60</f>
        <v>10</v>
      </c>
      <c r="D9" s="45">
        <f>'2a. % By Priority'!AB59</f>
        <v>0.90909090909090906</v>
      </c>
      <c r="E9" s="52">
        <f>'2a. % By Priority'!X61+'2a. % By Priority'!X62+'2a. % By Priority'!X63</f>
        <v>0</v>
      </c>
      <c r="F9" s="36">
        <f>'2a. % By Priority'!AB61</f>
        <v>0</v>
      </c>
      <c r="G9" s="56">
        <f>'2a. % By Priority'!X64+'2a. % By Priority'!X65</f>
        <v>1</v>
      </c>
      <c r="H9" s="57">
        <f>'2a. % By Priority'!AB64</f>
        <v>9.0909090909090912E-2</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60" t="s">
        <v>406</v>
      </c>
      <c r="C10" s="44">
        <f>'2a. % By Priority'!X77+'2a. % By Priority'!X78</f>
        <v>4</v>
      </c>
      <c r="D10" s="45">
        <f>'2a. % By Priority'!AB77</f>
        <v>1</v>
      </c>
      <c r="E10" s="52">
        <f>'2a. % By Priority'!X79+'2a. % By Priority'!X80+'2a. % By Priority'!X81</f>
        <v>0</v>
      </c>
      <c r="F10" s="36">
        <f>'2a. % By Priority'!AB79</f>
        <v>0</v>
      </c>
      <c r="G10" s="56">
        <f>'2a. % By Priority'!X82+'2a. % By Priority'!X83</f>
        <v>0</v>
      </c>
      <c r="H10" s="57">
        <f>'2a. % By Priority'!AB82</f>
        <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60" t="s">
        <v>407</v>
      </c>
      <c r="C11" s="44">
        <f>'2a. % By Priority'!X95+'2a. % By Priority'!X96</f>
        <v>5</v>
      </c>
      <c r="D11" s="45">
        <f>'2a. % By Priority'!AB95</f>
        <v>1</v>
      </c>
      <c r="E11" s="52">
        <f>'2a. % By Priority'!X97+'2a. % By Priority'!X98+'2a. % By Priority'!X99</f>
        <v>0</v>
      </c>
      <c r="F11" s="36">
        <f>'2a. % By Priority'!AB97</f>
        <v>0</v>
      </c>
      <c r="G11" s="56">
        <f>'2a. % By Priority'!X100+'2a. % By Priority'!X101</f>
        <v>0</v>
      </c>
      <c r="H11" s="57">
        <f>'2a. % By Priority'!AB100</f>
        <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37.5" customHeight="1" thickTop="1" thickBot="1">
      <c r="A12" s="42"/>
      <c r="B12" s="260" t="s">
        <v>932</v>
      </c>
      <c r="C12" s="44">
        <f>'2a. % By Priority'!X113+'2a. % By Priority'!X114</f>
        <v>86</v>
      </c>
      <c r="D12" s="45">
        <f>'2a. % By Priority'!AB113</f>
        <v>0.92473118279569888</v>
      </c>
      <c r="E12" s="52">
        <f>'2a. % By Priority'!X115+'2a. % By Priority'!X116+'2a. % By Priority'!X117</f>
        <v>2</v>
      </c>
      <c r="F12" s="36">
        <f>'2a. % By Priority'!AB115</f>
        <v>2.1505376344086023E-2</v>
      </c>
      <c r="G12" s="56">
        <f>'2a. % By Priority'!X118+'2a. % By Priority'!X119</f>
        <v>5</v>
      </c>
      <c r="H12" s="57">
        <f>'2a. % By Priority'!AB118</f>
        <v>5.3763440860215062E-2</v>
      </c>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21.75" thickTop="1" thickBot="1">
      <c r="A13" s="42"/>
      <c r="B13" s="48" t="s">
        <v>415</v>
      </c>
      <c r="C13" s="49"/>
      <c r="D13" s="50"/>
      <c r="E13" s="49"/>
      <c r="F13" s="50"/>
      <c r="G13" s="49"/>
      <c r="H13" s="51"/>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202</v>
      </c>
      <c r="C14" s="60">
        <f>'3a. % by Portfolio'!X5+'3a. % by Portfolio'!X6</f>
        <v>21</v>
      </c>
      <c r="D14" s="61">
        <f>'3a. % by Portfolio'!AB5</f>
        <v>0.91304347826086951</v>
      </c>
      <c r="E14" s="62">
        <f>'3a. % by Portfolio'!X7+'3a. % by Portfolio'!X8+'3a. % by Portfolio'!X9</f>
        <v>0</v>
      </c>
      <c r="F14" s="63">
        <f>'3a. % by Portfolio'!AB7</f>
        <v>0</v>
      </c>
      <c r="G14" s="64">
        <f>'3a. % by Portfolio'!X10+'3a. % by Portfolio'!X11</f>
        <v>2</v>
      </c>
      <c r="H14" s="65">
        <f>'3a. % by Portfolio'!AB10</f>
        <v>8.6956521739130432E-2</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110</v>
      </c>
      <c r="C15" s="60">
        <f>'3a. % by Portfolio'!X24+'3a. % by Portfolio'!X25</f>
        <v>31</v>
      </c>
      <c r="D15" s="61">
        <f>'3a. % by Portfolio'!AB24</f>
        <v>0.91176470588235292</v>
      </c>
      <c r="E15" s="66">
        <f>'3a. % by Portfolio'!X26+'3a. % by Portfolio'!X27+'3a. % by Portfolio'!X28</f>
        <v>1</v>
      </c>
      <c r="F15" s="63">
        <f>'3a. % by Portfolio'!AB26</f>
        <v>2.9411764705882353E-2</v>
      </c>
      <c r="G15" s="64">
        <f>'3a. % by Portfolio'!X29+'3a. % by Portfolio'!X30</f>
        <v>2</v>
      </c>
      <c r="H15" s="65">
        <f>'3a. % by Portfolio'!AB29</f>
        <v>5.8823529411764705E-2</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204</v>
      </c>
      <c r="C16" s="60">
        <f>'3a. % by Portfolio'!X42+'3a. % by Portfolio'!X43</f>
        <v>13</v>
      </c>
      <c r="D16" s="61">
        <f>'3a. % by Portfolio'!AB42</f>
        <v>1</v>
      </c>
      <c r="E16" s="66">
        <f>'3a. % by Portfolio'!X44+'3a. % by Portfolio'!X45+'3a. % by Portfolio'!X46</f>
        <v>0</v>
      </c>
      <c r="F16" s="63">
        <f>'3a. % by Portfolio'!AB44</f>
        <v>0</v>
      </c>
      <c r="G16" s="64">
        <f>'3a. % by Portfolio'!X47+'3a. % by Portfolio'!X48</f>
        <v>0</v>
      </c>
      <c r="H16" s="65">
        <f>'3a. % by Portfolio'!AB47</f>
        <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414</v>
      </c>
      <c r="C17" s="60">
        <f>'3a. % by Portfolio'!X60+'3a. % by Portfolio'!X61</f>
        <v>15</v>
      </c>
      <c r="D17" s="61">
        <f>'3a. % by Portfolio'!AB60</f>
        <v>1</v>
      </c>
      <c r="E17" s="66">
        <f>'3a. % by Portfolio'!X62+'3a. % by Portfolio'!X63+'3a. % by Portfolio'!X64</f>
        <v>0</v>
      </c>
      <c r="F17" s="63">
        <f>'3a. % by Portfolio'!AB62</f>
        <v>0</v>
      </c>
      <c r="G17" s="64">
        <f>'3a. % by Portfolio'!X65+'3a. % by Portfolio'!X66</f>
        <v>0</v>
      </c>
      <c r="H17" s="65">
        <f>'3a. % by Portfolio'!AB65</f>
        <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201</v>
      </c>
      <c r="C18" s="60">
        <f>'3a. % by Portfolio'!X78+'3a. % by Portfolio'!X79</f>
        <v>22</v>
      </c>
      <c r="D18" s="61">
        <f>'3a. % by Portfolio'!AB78</f>
        <v>0.91666666666666674</v>
      </c>
      <c r="E18" s="66">
        <f>'3a. % by Portfolio'!X80+'3a. % by Portfolio'!X81+'3a. % by Portfolio'!X82</f>
        <v>1</v>
      </c>
      <c r="F18" s="63">
        <f>'3a. % by Portfolio'!AB80</f>
        <v>4.1666666666666664E-2</v>
      </c>
      <c r="G18" s="64">
        <f>'3a. % by Portfolio'!X83+'3a. % by Portfolio'!X84</f>
        <v>1</v>
      </c>
      <c r="H18" s="65">
        <f>'3a. % by Portfolio'!AB83</f>
        <v>4.1666666666666664E-2</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47" customFormat="1" ht="37.5" customHeight="1" thickTop="1" thickBot="1">
      <c r="A19" s="42"/>
      <c r="B19" s="59" t="s">
        <v>109</v>
      </c>
      <c r="C19" s="60">
        <f>'3a. % by Portfolio'!X96+'3a. % by Portfolio'!X97</f>
        <v>20</v>
      </c>
      <c r="D19" s="61">
        <f>'3a. % by Portfolio'!AB96</f>
        <v>0.95238095238095233</v>
      </c>
      <c r="E19" s="66">
        <f>'3a. % by Portfolio'!X98+'3a. % by Portfolio'!X99+'3a. % by Portfolio'!X100</f>
        <v>0</v>
      </c>
      <c r="F19" s="63">
        <f>'3a. % by Portfolio'!AB98</f>
        <v>0</v>
      </c>
      <c r="G19" s="64">
        <f>'3a. % by Portfolio'!X101+'3a. % by Portfolio'!X102</f>
        <v>1</v>
      </c>
      <c r="H19" s="65">
        <f>'3a. % by Portfolio'!AB101</f>
        <v>4.7619047619047616E-2</v>
      </c>
      <c r="I19" s="42"/>
      <c r="J19" s="226"/>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row>
    <row r="20" spans="1:40" s="30" customFormat="1" ht="15.75" thickTop="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row r="49" spans="4:4" s="30" customFormat="1">
      <c r="D49"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5"/>
  <sheetViews>
    <sheetView zoomScale="80" zoomScaleNormal="80" workbookViewId="0">
      <pane xSplit="1" ySplit="1" topLeftCell="B99" activePane="bottomRight" state="frozen"/>
      <selection pane="topRight" activeCell="B1" sqref="B1"/>
      <selection pane="bottomLeft" activeCell="A2" sqref="A2"/>
      <selection pane="bottomRight" activeCell="AA120" sqref="AA120"/>
    </sheetView>
  </sheetViews>
  <sheetFormatPr defaultColWidth="9.28515625" defaultRowHeight="14.25"/>
  <cols>
    <col min="1" max="1" width="2.28515625" style="157" customWidth="1"/>
    <col min="2" max="2" width="38.7109375" style="157" hidden="1" customWidth="1"/>
    <col min="3" max="3" width="13.5703125" style="154" hidden="1" customWidth="1"/>
    <col min="4" max="4" width="13.7109375" style="154" hidden="1" customWidth="1"/>
    <col min="5" max="5" width="16.42578125" style="154" hidden="1" customWidth="1"/>
    <col min="6" max="6" width="14.28515625" style="154" hidden="1" customWidth="1"/>
    <col min="7" max="7" width="17.28515625" style="154" hidden="1" customWidth="1"/>
    <col min="8" max="8" width="4.5703125" style="154" hidden="1" customWidth="1"/>
    <col min="9" max="9" width="38.7109375" style="157" hidden="1" customWidth="1"/>
    <col min="10" max="10" width="13.5703125" style="154" hidden="1" customWidth="1"/>
    <col min="11" max="11" width="13.7109375" style="154" hidden="1" customWidth="1"/>
    <col min="12" max="12" width="16.42578125" style="154" hidden="1" customWidth="1"/>
    <col min="13" max="13" width="14.28515625" style="154" hidden="1" customWidth="1"/>
    <col min="14" max="14" width="17.28515625" style="154" hidden="1" customWidth="1"/>
    <col min="15" max="15" width="4.5703125" style="154" customWidth="1"/>
    <col min="16" max="16" width="38.7109375" style="157" hidden="1" customWidth="1"/>
    <col min="17" max="17" width="13.5703125" style="154" hidden="1" customWidth="1"/>
    <col min="18" max="18" width="13.7109375" style="154" hidden="1" customWidth="1"/>
    <col min="19" max="19" width="16.42578125" style="154" hidden="1" customWidth="1"/>
    <col min="20" max="20" width="14.28515625" style="154" hidden="1" customWidth="1"/>
    <col min="21" max="21" width="17.28515625" style="154" hidden="1" customWidth="1"/>
    <col min="22" max="22" width="4.5703125" style="154" customWidth="1"/>
    <col min="23" max="23" width="55.42578125" style="154" customWidth="1"/>
    <col min="24" max="24" width="14.5703125" style="154" customWidth="1"/>
    <col min="25" max="27" width="17.28515625" style="154" customWidth="1"/>
    <col min="28" max="28" width="17.28515625" style="181" customWidth="1"/>
    <col min="29" max="29" width="1.7109375" style="157" customWidth="1"/>
    <col min="30" max="30" width="12" style="157" customWidth="1"/>
    <col min="31" max="32" width="9.28515625" style="157" customWidth="1"/>
    <col min="33" max="16384" width="9.28515625" style="157"/>
  </cols>
  <sheetData>
    <row r="1" spans="2:31" s="151" customFormat="1" ht="20.25">
      <c r="B1" s="143" t="s">
        <v>424</v>
      </c>
      <c r="C1" s="144"/>
      <c r="D1" s="145"/>
      <c r="E1" s="145"/>
      <c r="F1" s="145"/>
      <c r="G1" s="145"/>
      <c r="H1" s="146"/>
      <c r="I1" s="143" t="s">
        <v>417</v>
      </c>
      <c r="J1" s="144"/>
      <c r="K1" s="145"/>
      <c r="L1" s="145"/>
      <c r="M1" s="145"/>
      <c r="N1" s="145"/>
      <c r="O1" s="146"/>
      <c r="P1" s="147" t="s">
        <v>418</v>
      </c>
      <c r="Q1" s="144"/>
      <c r="R1" s="145"/>
      <c r="S1" s="145"/>
      <c r="T1" s="145"/>
      <c r="U1" s="145"/>
      <c r="V1" s="146"/>
      <c r="W1" s="148" t="s">
        <v>419</v>
      </c>
      <c r="X1" s="149"/>
      <c r="Y1" s="149"/>
      <c r="Z1" s="149"/>
      <c r="AA1" s="149"/>
      <c r="AB1" s="150"/>
    </row>
    <row r="2" spans="2:31" ht="15.75">
      <c r="B2" s="152"/>
      <c r="C2" s="153"/>
      <c r="D2" s="153"/>
      <c r="E2" s="153"/>
      <c r="F2" s="153"/>
      <c r="G2" s="153"/>
      <c r="I2" s="152"/>
      <c r="J2" s="153"/>
      <c r="K2" s="153"/>
      <c r="L2" s="153"/>
      <c r="M2" s="153"/>
      <c r="N2" s="153"/>
      <c r="P2" s="152"/>
      <c r="Q2" s="153"/>
      <c r="R2" s="153"/>
      <c r="S2" s="153"/>
      <c r="T2" s="153"/>
      <c r="U2" s="153"/>
      <c r="W2" s="155"/>
      <c r="X2" s="155"/>
      <c r="Y2" s="155"/>
      <c r="Z2" s="155"/>
      <c r="AA2" s="155"/>
      <c r="AB2" s="156"/>
    </row>
    <row r="3" spans="2:31" ht="15.75">
      <c r="B3" s="158" t="s">
        <v>41</v>
      </c>
      <c r="C3" s="159"/>
      <c r="D3" s="159"/>
      <c r="E3" s="159"/>
      <c r="F3" s="159"/>
      <c r="G3" s="160"/>
      <c r="I3" s="158" t="s">
        <v>41</v>
      </c>
      <c r="J3" s="159"/>
      <c r="K3" s="159"/>
      <c r="L3" s="159"/>
      <c r="M3" s="159"/>
      <c r="N3" s="160"/>
      <c r="P3" s="158" t="s">
        <v>41</v>
      </c>
      <c r="Q3" s="159"/>
      <c r="R3" s="159"/>
      <c r="S3" s="159"/>
      <c r="T3" s="159"/>
      <c r="U3" s="160"/>
      <c r="W3" s="161" t="s">
        <v>41</v>
      </c>
      <c r="X3" s="162"/>
      <c r="Y3" s="162"/>
      <c r="Z3" s="162"/>
      <c r="AA3" s="162"/>
      <c r="AB3" s="163"/>
    </row>
    <row r="4" spans="2:31" s="154" customFormat="1" ht="39" customHeight="1">
      <c r="B4" s="164" t="s">
        <v>42</v>
      </c>
      <c r="C4" s="164" t="s">
        <v>43</v>
      </c>
      <c r="D4" s="164" t="s">
        <v>44</v>
      </c>
      <c r="E4" s="164" t="s">
        <v>45</v>
      </c>
      <c r="F4" s="164" t="s">
        <v>46</v>
      </c>
      <c r="G4" s="164" t="s">
        <v>47</v>
      </c>
      <c r="I4" s="164" t="s">
        <v>42</v>
      </c>
      <c r="J4" s="164" t="s">
        <v>43</v>
      </c>
      <c r="K4" s="164" t="s">
        <v>44</v>
      </c>
      <c r="L4" s="164" t="s">
        <v>45</v>
      </c>
      <c r="M4" s="164" t="s">
        <v>46</v>
      </c>
      <c r="N4" s="164" t="s">
        <v>47</v>
      </c>
      <c r="P4" s="164" t="s">
        <v>42</v>
      </c>
      <c r="Q4" s="164" t="s">
        <v>43</v>
      </c>
      <c r="R4" s="164" t="s">
        <v>44</v>
      </c>
      <c r="S4" s="164" t="s">
        <v>45</v>
      </c>
      <c r="T4" s="164" t="s">
        <v>46</v>
      </c>
      <c r="U4" s="164" t="s">
        <v>47</v>
      </c>
      <c r="W4" s="164" t="s">
        <v>42</v>
      </c>
      <c r="X4" s="164" t="s">
        <v>43</v>
      </c>
      <c r="Y4" s="164" t="s">
        <v>44</v>
      </c>
      <c r="Z4" s="164" t="s">
        <v>45</v>
      </c>
      <c r="AA4" s="164" t="s">
        <v>46</v>
      </c>
      <c r="AB4" s="164" t="s">
        <v>47</v>
      </c>
    </row>
    <row r="5" spans="2:31" ht="30.75" customHeight="1">
      <c r="B5" s="227" t="s">
        <v>48</v>
      </c>
      <c r="C5" s="167">
        <f>COUNTIF('1. All Data'!$H$3:$H$134,"Fully Achieved")</f>
        <v>9</v>
      </c>
      <c r="D5" s="168">
        <f>C5/C16</f>
        <v>6.8181818181818177E-2</v>
      </c>
      <c r="E5" s="413">
        <f>D5+D6</f>
        <v>0.62878787878787867</v>
      </c>
      <c r="F5" s="168">
        <f>C5/C17</f>
        <v>0.10112359550561797</v>
      </c>
      <c r="G5" s="415">
        <f>F5+F6</f>
        <v>0.93258426966292141</v>
      </c>
      <c r="I5" s="227" t="s">
        <v>48</v>
      </c>
      <c r="J5" s="167">
        <f>COUNTIF('1. All Data'!$M$3:$M$136,"Fully Achieved")</f>
        <v>37</v>
      </c>
      <c r="K5" s="168">
        <f>J5/J16</f>
        <v>0.28030303030303028</v>
      </c>
      <c r="L5" s="413">
        <f>K5+K6</f>
        <v>0.86363636363636365</v>
      </c>
      <c r="M5" s="168">
        <f>J5/J17</f>
        <v>0.30578512396694213</v>
      </c>
      <c r="N5" s="415">
        <f>M5+M6</f>
        <v>0.94214876033057848</v>
      </c>
      <c r="P5" s="227" t="s">
        <v>48</v>
      </c>
      <c r="Q5" s="167">
        <f>COUNTIF('1. All Data'!$R$3:$R$134,"Fully Achieved")</f>
        <v>70</v>
      </c>
      <c r="R5" s="168">
        <f>Q5/Q16</f>
        <v>0.53030303030303028</v>
      </c>
      <c r="S5" s="413">
        <f>R5+R6</f>
        <v>0.89393939393939392</v>
      </c>
      <c r="T5" s="168">
        <f>Q5/Q17</f>
        <v>0.55555555555555558</v>
      </c>
      <c r="U5" s="415">
        <f>T5+T6</f>
        <v>0.93650793650793651</v>
      </c>
      <c r="W5" s="227" t="s">
        <v>48</v>
      </c>
      <c r="X5" s="167">
        <f>COUNTIF('1. All Data'!$V$3:$V$134,"Fully Achieved")</f>
        <v>117</v>
      </c>
      <c r="Y5" s="168">
        <f t="shared" ref="Y5:Y15" si="0">X5/$X$16</f>
        <v>0.88636363636363635</v>
      </c>
      <c r="Z5" s="413">
        <f>SUM(Y5:Y6)</f>
        <v>0.9242424242424242</v>
      </c>
      <c r="AA5" s="168">
        <f t="shared" ref="AA5:AA11" si="1">X5/$X$17</f>
        <v>0.9</v>
      </c>
      <c r="AB5" s="415">
        <f>AA5+AA6</f>
        <v>0.93846153846153846</v>
      </c>
      <c r="AD5" s="431">
        <f>AB5</f>
        <v>0.93846153846153846</v>
      </c>
    </row>
    <row r="6" spans="2:31" ht="30.75" customHeight="1">
      <c r="B6" s="227" t="s">
        <v>31</v>
      </c>
      <c r="C6" s="167">
        <f>COUNTIF('1. All Data'!$H$3:$H$134,"On Track to be Achieved")</f>
        <v>74</v>
      </c>
      <c r="D6" s="168">
        <f>C6/C16</f>
        <v>0.56060606060606055</v>
      </c>
      <c r="E6" s="413"/>
      <c r="F6" s="168">
        <f>C6/C17</f>
        <v>0.8314606741573034</v>
      </c>
      <c r="G6" s="415"/>
      <c r="I6" s="227" t="s">
        <v>31</v>
      </c>
      <c r="J6" s="167">
        <f>COUNTIF('1. All Data'!$M$3:$M$136,"On Track to be Achieved")</f>
        <v>77</v>
      </c>
      <c r="K6" s="168">
        <f>J6/J16</f>
        <v>0.58333333333333337</v>
      </c>
      <c r="L6" s="413"/>
      <c r="M6" s="168">
        <f>J6/J17</f>
        <v>0.63636363636363635</v>
      </c>
      <c r="N6" s="415"/>
      <c r="P6" s="227" t="s">
        <v>31</v>
      </c>
      <c r="Q6" s="167">
        <f>COUNTIF('1. All Data'!$R$3:$R$134,"On Track to be Achieved")</f>
        <v>48</v>
      </c>
      <c r="R6" s="168">
        <f>Q6/Q16</f>
        <v>0.36363636363636365</v>
      </c>
      <c r="S6" s="413"/>
      <c r="T6" s="168">
        <f>Q6/Q17</f>
        <v>0.38095238095238093</v>
      </c>
      <c r="U6" s="415"/>
      <c r="W6" s="227" t="s">
        <v>23</v>
      </c>
      <c r="X6" s="167">
        <f>COUNTIF('1. All Data'!$V$3:$V$134,"Numerical Outturn Within 5% Tolerance")</f>
        <v>5</v>
      </c>
      <c r="Y6" s="168">
        <f t="shared" si="0"/>
        <v>3.787878787878788E-2</v>
      </c>
      <c r="Z6" s="413"/>
      <c r="AA6" s="168">
        <f t="shared" si="1"/>
        <v>3.8461538461538464E-2</v>
      </c>
      <c r="AB6" s="415"/>
      <c r="AD6" s="431"/>
    </row>
    <row r="7" spans="2:31" ht="18.75" customHeight="1">
      <c r="B7" s="423" t="s">
        <v>32</v>
      </c>
      <c r="C7" s="426">
        <f>COUNTIF('1. All Data'!$H$3:$H$134,"In Danger of Falling Behind Target")</f>
        <v>6</v>
      </c>
      <c r="D7" s="416">
        <f>C7/C16</f>
        <v>4.5454545454545456E-2</v>
      </c>
      <c r="E7" s="416">
        <f>D7</f>
        <v>4.5454545454545456E-2</v>
      </c>
      <c r="F7" s="416">
        <f>C7/C17</f>
        <v>6.741573033707865E-2</v>
      </c>
      <c r="G7" s="419">
        <f>F7</f>
        <v>6.741573033707865E-2</v>
      </c>
      <c r="I7" s="423" t="s">
        <v>32</v>
      </c>
      <c r="J7" s="426">
        <f>COUNTIF('1. All Data'!$M$3:$M$136,"In Danger of Falling Behind Target")</f>
        <v>2</v>
      </c>
      <c r="K7" s="416">
        <f>J7/J16</f>
        <v>1.5151515151515152E-2</v>
      </c>
      <c r="L7" s="416">
        <f>K7</f>
        <v>1.5151515151515152E-2</v>
      </c>
      <c r="M7" s="416">
        <f>J7/J17</f>
        <v>1.6528925619834711E-2</v>
      </c>
      <c r="N7" s="419">
        <f>M7</f>
        <v>1.6528925619834711E-2</v>
      </c>
      <c r="P7" s="423" t="s">
        <v>32</v>
      </c>
      <c r="Q7" s="426">
        <f>COUNTIF('1. All Data'!$R$3:$R$134,"In Danger of Falling Behind Target")</f>
        <v>3</v>
      </c>
      <c r="R7" s="416">
        <f>Q7/Q16</f>
        <v>2.2727272727272728E-2</v>
      </c>
      <c r="S7" s="416">
        <f>R7</f>
        <v>2.2727272727272728E-2</v>
      </c>
      <c r="T7" s="416">
        <f>Q7/Q17</f>
        <v>2.3809523809523808E-2</v>
      </c>
      <c r="U7" s="419">
        <f>T7</f>
        <v>2.3809523809523808E-2</v>
      </c>
      <c r="W7" s="169" t="s">
        <v>24</v>
      </c>
      <c r="X7" s="170">
        <f>COUNTIF('1. All Data'!$V$3:$V$134,"Numerical Outturn Within 10% Tolerance")</f>
        <v>1</v>
      </c>
      <c r="Y7" s="168">
        <f t="shared" si="0"/>
        <v>7.575757575757576E-3</v>
      </c>
      <c r="Z7" s="413">
        <f>SUM(Y7:Y9)</f>
        <v>1.5151515151515152E-2</v>
      </c>
      <c r="AA7" s="168">
        <f t="shared" si="1"/>
        <v>7.6923076923076927E-3</v>
      </c>
      <c r="AB7" s="422">
        <f>SUM(AA7:AA9)</f>
        <v>1.5384615384615385E-2</v>
      </c>
      <c r="AD7" s="429">
        <f>SUM(AB7:AB11)</f>
        <v>6.1538461538461542E-2</v>
      </c>
    </row>
    <row r="8" spans="2:31" ht="19.5" customHeight="1">
      <c r="B8" s="424"/>
      <c r="C8" s="427"/>
      <c r="D8" s="417"/>
      <c r="E8" s="417"/>
      <c r="F8" s="417"/>
      <c r="G8" s="420"/>
      <c r="I8" s="424"/>
      <c r="J8" s="427"/>
      <c r="K8" s="417"/>
      <c r="L8" s="417"/>
      <c r="M8" s="417"/>
      <c r="N8" s="420"/>
      <c r="P8" s="424"/>
      <c r="Q8" s="427"/>
      <c r="R8" s="417"/>
      <c r="S8" s="417"/>
      <c r="T8" s="417"/>
      <c r="U8" s="420"/>
      <c r="W8" s="169" t="s">
        <v>25</v>
      </c>
      <c r="X8" s="170">
        <f>COUNTIF('1. All Data'!$V$3:$V$134,"Target Partially Met")</f>
        <v>0</v>
      </c>
      <c r="Y8" s="168">
        <f t="shared" si="0"/>
        <v>0</v>
      </c>
      <c r="Z8" s="413"/>
      <c r="AA8" s="168">
        <f t="shared" si="1"/>
        <v>0</v>
      </c>
      <c r="AB8" s="422"/>
      <c r="AD8" s="430"/>
    </row>
    <row r="9" spans="2:31" ht="19.5" customHeight="1">
      <c r="B9" s="425"/>
      <c r="C9" s="428"/>
      <c r="D9" s="418"/>
      <c r="E9" s="418"/>
      <c r="F9" s="418"/>
      <c r="G9" s="421"/>
      <c r="I9" s="425"/>
      <c r="J9" s="428"/>
      <c r="K9" s="418"/>
      <c r="L9" s="418"/>
      <c r="M9" s="418"/>
      <c r="N9" s="421"/>
      <c r="P9" s="425"/>
      <c r="Q9" s="428"/>
      <c r="R9" s="418"/>
      <c r="S9" s="418"/>
      <c r="T9" s="418"/>
      <c r="U9" s="421"/>
      <c r="W9" s="169" t="s">
        <v>28</v>
      </c>
      <c r="X9" s="170">
        <f>COUNTIF('1. All Data'!$V$3:$V$134,"Completion Date Within Reasonable Tolerance")</f>
        <v>1</v>
      </c>
      <c r="Y9" s="168">
        <f t="shared" si="0"/>
        <v>7.575757575757576E-3</v>
      </c>
      <c r="Z9" s="413"/>
      <c r="AA9" s="168">
        <f t="shared" si="1"/>
        <v>7.6923076923076927E-3</v>
      </c>
      <c r="AB9" s="422"/>
      <c r="AD9" s="430"/>
    </row>
    <row r="10" spans="2:31" ht="29.25" customHeight="1">
      <c r="B10" s="171" t="s">
        <v>33</v>
      </c>
      <c r="C10" s="167">
        <f>COUNTIF('1. All Data'!H3:H134,"completed behind schedule")</f>
        <v>0</v>
      </c>
      <c r="D10" s="168">
        <f>C10/C16</f>
        <v>0</v>
      </c>
      <c r="E10" s="413">
        <f>D10+D11</f>
        <v>0</v>
      </c>
      <c r="F10" s="168">
        <f>C10/C17</f>
        <v>0</v>
      </c>
      <c r="G10" s="414">
        <f>F10+F11</f>
        <v>0</v>
      </c>
      <c r="I10" s="171" t="s">
        <v>33</v>
      </c>
      <c r="J10" s="167">
        <f>COUNTIF('1. All Data'!M3:M136,"Completed Behind Schedule")</f>
        <v>0</v>
      </c>
      <c r="K10" s="168">
        <f>J10/J16</f>
        <v>0</v>
      </c>
      <c r="L10" s="413">
        <f>K10+K11</f>
        <v>3.787878787878788E-2</v>
      </c>
      <c r="M10" s="168">
        <f>J10/J17</f>
        <v>0</v>
      </c>
      <c r="N10" s="414">
        <f>M10+M11</f>
        <v>4.1322314049586778E-2</v>
      </c>
      <c r="P10" s="171" t="s">
        <v>33</v>
      </c>
      <c r="Q10" s="167">
        <f>COUNTIF('1. All Data'!R3:R134,"completed behind schedule")</f>
        <v>2</v>
      </c>
      <c r="R10" s="168">
        <f>Q10/Q16</f>
        <v>1.5151515151515152E-2</v>
      </c>
      <c r="S10" s="413">
        <f>R10+R11</f>
        <v>3.787878787878788E-2</v>
      </c>
      <c r="T10" s="168">
        <f>Q10/Q17</f>
        <v>1.5873015873015872E-2</v>
      </c>
      <c r="U10" s="414">
        <f>T10+T11</f>
        <v>3.968253968253968E-2</v>
      </c>
      <c r="W10" s="171" t="s">
        <v>27</v>
      </c>
      <c r="X10" s="167">
        <f>COUNTIF('1. All Data'!V3:V134,"Completed Significantly After Target Deadline")</f>
        <v>1</v>
      </c>
      <c r="Y10" s="168">
        <f t="shared" si="0"/>
        <v>7.575757575757576E-3</v>
      </c>
      <c r="Z10" s="413">
        <f>SUM(Y10:Y11)</f>
        <v>4.5454545454545456E-2</v>
      </c>
      <c r="AA10" s="168">
        <f t="shared" si="1"/>
        <v>7.6923076923076927E-3</v>
      </c>
      <c r="AB10" s="414">
        <f>SUM(AA10:AA11)</f>
        <v>4.6153846153846156E-2</v>
      </c>
      <c r="AD10" s="430"/>
    </row>
    <row r="11" spans="2:31" ht="29.25" customHeight="1">
      <c r="B11" s="171" t="s">
        <v>26</v>
      </c>
      <c r="C11" s="167">
        <f>COUNTIF('1. All Data'!H3:H134,"off target")</f>
        <v>0</v>
      </c>
      <c r="D11" s="168">
        <f>C11/C16</f>
        <v>0</v>
      </c>
      <c r="E11" s="413"/>
      <c r="F11" s="168">
        <f>C11/C17</f>
        <v>0</v>
      </c>
      <c r="G11" s="414"/>
      <c r="I11" s="171" t="s">
        <v>26</v>
      </c>
      <c r="J11" s="167">
        <f>COUNTIF('1. All Data'!M3:M136,"Off Target")</f>
        <v>5</v>
      </c>
      <c r="K11" s="168">
        <f>J11/J16</f>
        <v>3.787878787878788E-2</v>
      </c>
      <c r="L11" s="413"/>
      <c r="M11" s="168">
        <f>J11/J17</f>
        <v>4.1322314049586778E-2</v>
      </c>
      <c r="N11" s="414"/>
      <c r="P11" s="171" t="s">
        <v>26</v>
      </c>
      <c r="Q11" s="167">
        <f>COUNTIF('1. All Data'!R3:R134,"off target")</f>
        <v>3</v>
      </c>
      <c r="R11" s="168">
        <f>Q11/Q16</f>
        <v>2.2727272727272728E-2</v>
      </c>
      <c r="S11" s="413"/>
      <c r="T11" s="168">
        <f>Q11/Q17</f>
        <v>2.3809523809523808E-2</v>
      </c>
      <c r="U11" s="414"/>
      <c r="W11" s="171" t="s">
        <v>26</v>
      </c>
      <c r="X11" s="167">
        <f>COUNTIF('1. All Data'!V3:V134,"off target")</f>
        <v>5</v>
      </c>
      <c r="Y11" s="168">
        <f t="shared" si="0"/>
        <v>3.787878787878788E-2</v>
      </c>
      <c r="Z11" s="413"/>
      <c r="AA11" s="168">
        <f t="shared" si="1"/>
        <v>3.8461538461538464E-2</v>
      </c>
      <c r="AB11" s="414"/>
      <c r="AD11" s="430"/>
    </row>
    <row r="12" spans="2:31" ht="20.25" customHeight="1">
      <c r="B12" s="172" t="s">
        <v>49</v>
      </c>
      <c r="C12" s="167">
        <f>COUNTIF('1. All Data'!H3:H134,"not yet due")</f>
        <v>43</v>
      </c>
      <c r="D12" s="173">
        <f>C12/C16</f>
        <v>0.32575757575757575</v>
      </c>
      <c r="E12" s="173">
        <f>D12</f>
        <v>0.32575757575757575</v>
      </c>
      <c r="F12" s="174"/>
      <c r="G12" s="58"/>
      <c r="I12" s="172" t="s">
        <v>49</v>
      </c>
      <c r="J12" s="167">
        <f>COUNTIF('1. All Data'!M3:M136,"not yet due")</f>
        <v>9</v>
      </c>
      <c r="K12" s="173">
        <f>J12/J16</f>
        <v>6.8181818181818177E-2</v>
      </c>
      <c r="L12" s="173">
        <f>K12</f>
        <v>6.8181818181818177E-2</v>
      </c>
      <c r="M12" s="174"/>
      <c r="N12" s="58"/>
      <c r="P12" s="172" t="s">
        <v>49</v>
      </c>
      <c r="Q12" s="167">
        <f>COUNTIF('1. All Data'!R3:R134,"not yet due")</f>
        <v>4</v>
      </c>
      <c r="R12" s="173">
        <f>Q12/Q16</f>
        <v>3.0303030303030304E-2</v>
      </c>
      <c r="S12" s="173">
        <f>R12</f>
        <v>3.0303030303030304E-2</v>
      </c>
      <c r="T12" s="174"/>
      <c r="U12" s="58"/>
      <c r="W12" s="172" t="s">
        <v>49</v>
      </c>
      <c r="X12" s="167">
        <f>COUNTIF('1. All Data'!V3:V134,"not yet due")</f>
        <v>0</v>
      </c>
      <c r="Y12" s="168">
        <f t="shared" si="0"/>
        <v>0</v>
      </c>
      <c r="Z12" s="173">
        <f>Y12</f>
        <v>0</v>
      </c>
      <c r="AA12" s="174"/>
      <c r="AB12" s="58"/>
    </row>
    <row r="13" spans="2:31" ht="20.25" customHeight="1">
      <c r="B13" s="172" t="s">
        <v>21</v>
      </c>
      <c r="C13" s="167">
        <f>COUNTIF('1. All Data'!H3:H134,"update not provided")</f>
        <v>0</v>
      </c>
      <c r="D13" s="173">
        <f>C13/C16</f>
        <v>0</v>
      </c>
      <c r="E13" s="173">
        <f>D13</f>
        <v>0</v>
      </c>
      <c r="F13" s="174"/>
      <c r="G13" s="2"/>
      <c r="I13" s="172" t="s">
        <v>21</v>
      </c>
      <c r="J13" s="167">
        <f>COUNTIF('1. All Data'!M3:M136,"update not provided")</f>
        <v>0</v>
      </c>
      <c r="K13" s="173">
        <f>J13/J16</f>
        <v>0</v>
      </c>
      <c r="L13" s="173">
        <f>K13</f>
        <v>0</v>
      </c>
      <c r="M13" s="174"/>
      <c r="N13" s="2"/>
      <c r="P13" s="172" t="s">
        <v>21</v>
      </c>
      <c r="Q13" s="167">
        <f>COUNTIF('1. All Data'!R3:R134,"update not provided")</f>
        <v>0</v>
      </c>
      <c r="R13" s="173">
        <f>Q13/Q16</f>
        <v>0</v>
      </c>
      <c r="S13" s="173">
        <f>R13</f>
        <v>0</v>
      </c>
      <c r="T13" s="174"/>
      <c r="U13" s="2"/>
      <c r="W13" s="172" t="s">
        <v>21</v>
      </c>
      <c r="X13" s="167">
        <f>COUNTIF('1. All Data'!V3:V134,"update not provided")</f>
        <v>0</v>
      </c>
      <c r="Y13" s="168">
        <f t="shared" si="0"/>
        <v>0</v>
      </c>
      <c r="Z13" s="173">
        <f>Y13</f>
        <v>0</v>
      </c>
      <c r="AA13" s="174"/>
      <c r="AB13" s="2"/>
    </row>
    <row r="14" spans="2:31" ht="15.75" customHeight="1">
      <c r="B14" s="175" t="s">
        <v>29</v>
      </c>
      <c r="C14" s="167">
        <f>COUNTIF('1. All Data'!H3:H134,"deferred")</f>
        <v>0</v>
      </c>
      <c r="D14" s="176">
        <f>C14/C16</f>
        <v>0</v>
      </c>
      <c r="E14" s="176">
        <f>D14</f>
        <v>0</v>
      </c>
      <c r="F14" s="177"/>
      <c r="G14" s="58"/>
      <c r="I14" s="175" t="s">
        <v>29</v>
      </c>
      <c r="J14" s="167">
        <f>COUNTIF('1. All Data'!M3:M136,"deferred")</f>
        <v>0</v>
      </c>
      <c r="K14" s="176">
        <f>J14/J16</f>
        <v>0</v>
      </c>
      <c r="L14" s="176">
        <f>K14</f>
        <v>0</v>
      </c>
      <c r="M14" s="177"/>
      <c r="N14" s="58"/>
      <c r="P14" s="175" t="s">
        <v>29</v>
      </c>
      <c r="Q14" s="167">
        <f>COUNTIF('1. All Data'!R3:R134,"deferred")</f>
        <v>0</v>
      </c>
      <c r="R14" s="176">
        <f>Q14/Q16</f>
        <v>0</v>
      </c>
      <c r="S14" s="176">
        <f>R14</f>
        <v>0</v>
      </c>
      <c r="T14" s="177"/>
      <c r="U14" s="58"/>
      <c r="W14" s="175" t="s">
        <v>29</v>
      </c>
      <c r="X14" s="167">
        <f>COUNTIF('1. All Data'!V3:V134,"deferred")</f>
        <v>0</v>
      </c>
      <c r="Y14" s="168">
        <f t="shared" si="0"/>
        <v>0</v>
      </c>
      <c r="Z14" s="173">
        <f>Y14</f>
        <v>0</v>
      </c>
      <c r="AA14" s="177"/>
      <c r="AB14" s="58"/>
    </row>
    <row r="15" spans="2:31" ht="15.75" customHeight="1">
      <c r="B15" s="175" t="s">
        <v>30</v>
      </c>
      <c r="C15" s="167">
        <f>COUNTIF('1. All Data'!H3:H134,"deleted")</f>
        <v>0</v>
      </c>
      <c r="D15" s="176">
        <f>C15/C16</f>
        <v>0</v>
      </c>
      <c r="E15" s="176">
        <f>D15</f>
        <v>0</v>
      </c>
      <c r="F15" s="177"/>
      <c r="G15" s="3"/>
      <c r="I15" s="175" t="s">
        <v>30</v>
      </c>
      <c r="J15" s="167">
        <f>COUNTIF('1. All Data'!M3:M136,"deleted")</f>
        <v>2</v>
      </c>
      <c r="K15" s="176">
        <f>J15/J16</f>
        <v>1.5151515151515152E-2</v>
      </c>
      <c r="L15" s="176">
        <f>K15</f>
        <v>1.5151515151515152E-2</v>
      </c>
      <c r="M15" s="177"/>
      <c r="P15" s="175" t="s">
        <v>30</v>
      </c>
      <c r="Q15" s="167">
        <f>COUNTIF('1. All Data'!R3:R134,"deleted")</f>
        <v>2</v>
      </c>
      <c r="R15" s="176">
        <f>Q15/Q16</f>
        <v>1.5151515151515152E-2</v>
      </c>
      <c r="S15" s="176">
        <f>R15</f>
        <v>1.5151515151515152E-2</v>
      </c>
      <c r="T15" s="177"/>
      <c r="U15" s="3"/>
      <c r="W15" s="175" t="s">
        <v>30</v>
      </c>
      <c r="X15" s="167">
        <f>COUNTIF('1. All Data'!V3:V134,"deleted")</f>
        <v>2</v>
      </c>
      <c r="Y15" s="168">
        <f t="shared" si="0"/>
        <v>1.5151515151515152E-2</v>
      </c>
      <c r="Z15" s="173">
        <f t="shared" ref="Z15" si="2">Y15</f>
        <v>1.5151515151515152E-2</v>
      </c>
      <c r="AA15" s="177"/>
      <c r="AB15" s="3"/>
      <c r="AE15" s="3"/>
    </row>
    <row r="16" spans="2:31" ht="15.75" customHeight="1">
      <c r="B16" s="178" t="s">
        <v>51</v>
      </c>
      <c r="C16" s="179">
        <f>SUM(C5:C15)</f>
        <v>132</v>
      </c>
      <c r="D16" s="177"/>
      <c r="E16" s="177"/>
      <c r="F16" s="58"/>
      <c r="G16" s="58"/>
      <c r="I16" s="178" t="s">
        <v>51</v>
      </c>
      <c r="J16" s="179">
        <f>SUM(J5:J15)</f>
        <v>132</v>
      </c>
      <c r="K16" s="177"/>
      <c r="L16" s="177"/>
      <c r="M16" s="58"/>
      <c r="N16" s="58"/>
      <c r="P16" s="178" t="s">
        <v>51</v>
      </c>
      <c r="Q16" s="179">
        <f>SUM(Q5:Q15)</f>
        <v>132</v>
      </c>
      <c r="R16" s="177"/>
      <c r="S16" s="177"/>
      <c r="T16" s="58"/>
      <c r="U16" s="58"/>
      <c r="W16" s="178" t="s">
        <v>51</v>
      </c>
      <c r="X16" s="179">
        <f>SUM(X5:X15)</f>
        <v>132</v>
      </c>
      <c r="Y16" s="177"/>
      <c r="Z16" s="177"/>
      <c r="AA16" s="58"/>
      <c r="AB16" s="58"/>
    </row>
    <row r="17" spans="2:28" ht="15.75" customHeight="1">
      <c r="B17" s="178" t="s">
        <v>52</v>
      </c>
      <c r="C17" s="179">
        <f>C16-C15-C14-C13-C12</f>
        <v>89</v>
      </c>
      <c r="D17" s="58"/>
      <c r="E17" s="58"/>
      <c r="F17" s="58"/>
      <c r="G17" s="58"/>
      <c r="I17" s="178" t="s">
        <v>52</v>
      </c>
      <c r="J17" s="179">
        <f>J16-J15-J14-J13-J12</f>
        <v>121</v>
      </c>
      <c r="K17" s="58"/>
      <c r="L17" s="58"/>
      <c r="M17" s="58"/>
      <c r="N17" s="58"/>
      <c r="P17" s="178" t="s">
        <v>52</v>
      </c>
      <c r="Q17" s="179">
        <f>Q16-Q15-Q14-Q13-Q12</f>
        <v>126</v>
      </c>
      <c r="R17" s="58"/>
      <c r="S17" s="58"/>
      <c r="T17" s="58"/>
      <c r="U17" s="58"/>
      <c r="W17" s="178" t="s">
        <v>52</v>
      </c>
      <c r="X17" s="179">
        <f>X16-X15-X14-X13-X12</f>
        <v>130</v>
      </c>
      <c r="Y17" s="58"/>
      <c r="Z17" s="58"/>
      <c r="AA17" s="58"/>
      <c r="AB17" s="58"/>
    </row>
    <row r="18" spans="2:28" ht="15.75" customHeight="1">
      <c r="W18" s="180"/>
      <c r="AA18" s="2"/>
    </row>
    <row r="19" spans="2:28" ht="15.75" hidden="1" customHeight="1">
      <c r="AA19" s="2"/>
    </row>
    <row r="20" spans="2:28" ht="15" hidden="1" customHeight="1">
      <c r="AA20" s="2"/>
    </row>
    <row r="21" spans="2:28" ht="19.5" customHeight="1">
      <c r="B21" s="182" t="s">
        <v>411</v>
      </c>
      <c r="C21" s="183"/>
      <c r="D21" s="183"/>
      <c r="E21" s="183"/>
      <c r="F21" s="159"/>
      <c r="G21" s="184"/>
      <c r="I21" s="182" t="s">
        <v>411</v>
      </c>
      <c r="J21" s="183"/>
      <c r="K21" s="183"/>
      <c r="L21" s="183"/>
      <c r="M21" s="159"/>
      <c r="N21" s="184"/>
      <c r="P21" s="182" t="s">
        <v>411</v>
      </c>
      <c r="Q21" s="183"/>
      <c r="R21" s="183"/>
      <c r="S21" s="183"/>
      <c r="T21" s="159"/>
      <c r="U21" s="184"/>
      <c r="W21" s="182" t="s">
        <v>411</v>
      </c>
      <c r="X21" s="162"/>
      <c r="Y21" s="162"/>
      <c r="Z21" s="162"/>
      <c r="AA21" s="162"/>
      <c r="AB21" s="163"/>
    </row>
    <row r="22" spans="2:28" ht="42" customHeight="1">
      <c r="B22" s="164" t="s">
        <v>42</v>
      </c>
      <c r="C22" s="164" t="s">
        <v>43</v>
      </c>
      <c r="D22" s="164" t="s">
        <v>44</v>
      </c>
      <c r="E22" s="164" t="s">
        <v>45</v>
      </c>
      <c r="F22" s="164" t="s">
        <v>46</v>
      </c>
      <c r="G22" s="164" t="s">
        <v>47</v>
      </c>
      <c r="I22" s="164" t="s">
        <v>42</v>
      </c>
      <c r="J22" s="164" t="s">
        <v>43</v>
      </c>
      <c r="K22" s="164" t="s">
        <v>44</v>
      </c>
      <c r="L22" s="164" t="s">
        <v>45</v>
      </c>
      <c r="M22" s="164" t="s">
        <v>46</v>
      </c>
      <c r="N22" s="164" t="s">
        <v>47</v>
      </c>
      <c r="P22" s="164" t="s">
        <v>42</v>
      </c>
      <c r="Q22" s="164" t="s">
        <v>43</v>
      </c>
      <c r="R22" s="164" t="s">
        <v>44</v>
      </c>
      <c r="S22" s="164" t="s">
        <v>45</v>
      </c>
      <c r="T22" s="164" t="s">
        <v>46</v>
      </c>
      <c r="U22" s="164" t="s">
        <v>47</v>
      </c>
      <c r="W22" s="164" t="s">
        <v>42</v>
      </c>
      <c r="X22" s="164" t="s">
        <v>43</v>
      </c>
      <c r="Y22" s="164" t="s">
        <v>44</v>
      </c>
      <c r="Z22" s="164" t="s">
        <v>45</v>
      </c>
      <c r="AA22" s="164" t="s">
        <v>46</v>
      </c>
      <c r="AB22" s="164" t="s">
        <v>47</v>
      </c>
    </row>
    <row r="23" spans="2:28" ht="21.75" customHeight="1">
      <c r="B23" s="227" t="s">
        <v>48</v>
      </c>
      <c r="C23" s="167">
        <f>COUNTIFS('1. All Data'!$AA$3:$AA$134,"Improving Local Democracy",'1. All Data'!$H$3:$H$134,"Fully Achieved")</f>
        <v>0</v>
      </c>
      <c r="D23" s="168">
        <f>C23/C34</f>
        <v>0</v>
      </c>
      <c r="E23" s="413">
        <f>D23+D24</f>
        <v>0.5</v>
      </c>
      <c r="F23" s="168">
        <f>C23/C35</f>
        <v>0</v>
      </c>
      <c r="G23" s="432">
        <f>F23+F24</f>
        <v>1</v>
      </c>
      <c r="I23" s="227" t="s">
        <v>48</v>
      </c>
      <c r="J23" s="167">
        <f>COUNTIFS('1. All Data'!$AA$3:$AA$134,"Improving Local Democracy",'1. All Data'!$M$3:$M$134,"Fully Achieved")</f>
        <v>3</v>
      </c>
      <c r="K23" s="168">
        <f>J23/J34</f>
        <v>0.5</v>
      </c>
      <c r="L23" s="413">
        <f>K23+K24</f>
        <v>1</v>
      </c>
      <c r="M23" s="168">
        <f>J23/J35</f>
        <v>0.5</v>
      </c>
      <c r="N23" s="415">
        <f>M23+M24</f>
        <v>1</v>
      </c>
      <c r="P23" s="227" t="s">
        <v>48</v>
      </c>
      <c r="Q23" s="167">
        <f>COUNTIFS('1. All Data'!$AA$3:$AA$134,"Improving Local Democracy",'1. All Data'!$R$3:$R$134,"Fully Achieved")</f>
        <v>4</v>
      </c>
      <c r="R23" s="168">
        <f>Q23/Q34</f>
        <v>0.66666666666666663</v>
      </c>
      <c r="S23" s="413">
        <f>R23+R24</f>
        <v>1</v>
      </c>
      <c r="T23" s="168">
        <f>Q23/Q35</f>
        <v>0.66666666666666663</v>
      </c>
      <c r="U23" s="415">
        <f>T23+T24</f>
        <v>1</v>
      </c>
      <c r="W23" s="227" t="s">
        <v>48</v>
      </c>
      <c r="X23" s="167">
        <f>COUNTIFS('1. All Data'!$AA$3:$AA$134,"Improving Local Democracy",'1. All Data'!$V$3:$V$134,"Fully Achieved")</f>
        <v>6</v>
      </c>
      <c r="Y23" s="168">
        <f>X23/X34</f>
        <v>1</v>
      </c>
      <c r="Z23" s="413">
        <f>Y23+Y24</f>
        <v>1</v>
      </c>
      <c r="AA23" s="168">
        <f>X23/X35</f>
        <v>1</v>
      </c>
      <c r="AB23" s="415">
        <f>AA23+AA24</f>
        <v>1</v>
      </c>
    </row>
    <row r="24" spans="2:28" ht="18.75" customHeight="1">
      <c r="B24" s="227" t="s">
        <v>31</v>
      </c>
      <c r="C24" s="167">
        <f>COUNTIFS('1. All Data'!$AA$3:$AA$134,"Improving Local Democracy",'1. All Data'!$H$3:$H$134,"On Track to be achieved")</f>
        <v>3</v>
      </c>
      <c r="D24" s="168">
        <f>C24/C34</f>
        <v>0.5</v>
      </c>
      <c r="E24" s="413"/>
      <c r="F24" s="168">
        <f>C24/C35</f>
        <v>1</v>
      </c>
      <c r="G24" s="433"/>
      <c r="I24" s="227" t="s">
        <v>31</v>
      </c>
      <c r="J24" s="167">
        <f>COUNTIFS('1. All Data'!$AA$3:$AA$134,"Improving Local Democracy",'1. All Data'!$M$3:$M$134,"On Track to be achieved")</f>
        <v>3</v>
      </c>
      <c r="K24" s="168">
        <f>J24/J34</f>
        <v>0.5</v>
      </c>
      <c r="L24" s="413"/>
      <c r="M24" s="168">
        <f>J24/J35</f>
        <v>0.5</v>
      </c>
      <c r="N24" s="415"/>
      <c r="P24" s="227" t="s">
        <v>31</v>
      </c>
      <c r="Q24" s="167">
        <f>COUNTIFS('1. All Data'!$AA$3:$AA$134,"Improving Local Democracy",'1. All Data'!$R$3:$R$134,"On Track to be achieved")</f>
        <v>2</v>
      </c>
      <c r="R24" s="168">
        <f>Q24/Q34</f>
        <v>0.33333333333333331</v>
      </c>
      <c r="S24" s="413"/>
      <c r="T24" s="168">
        <f>Q24/Q35</f>
        <v>0.33333333333333331</v>
      </c>
      <c r="U24" s="415"/>
      <c r="W24" s="227" t="s">
        <v>23</v>
      </c>
      <c r="X24" s="167">
        <f>COUNTIFS('1. All Data'!$AA$3:$AA$134,"Improving Local Democracy",'1. All Data'!$V$3:$V$134,"Numerical Outturn Within 5% Tolerance")</f>
        <v>0</v>
      </c>
      <c r="Y24" s="168">
        <f>X24/X34</f>
        <v>0</v>
      </c>
      <c r="Z24" s="413"/>
      <c r="AA24" s="168">
        <f t="shared" ref="AA24:AA29" si="3">X24/$X$35</f>
        <v>0</v>
      </c>
      <c r="AB24" s="415"/>
    </row>
    <row r="25" spans="2:28" ht="21" customHeight="1">
      <c r="B25" s="423" t="s">
        <v>32</v>
      </c>
      <c r="C25" s="426">
        <f>COUNTIFS('1. All Data'!$AA$3:$AA$134,"Improving Local Democracy",'1. All Data'!$H$3:$H$134,"In Danger of Falling Behind Target")</f>
        <v>0</v>
      </c>
      <c r="D25" s="416">
        <f>C25/C34</f>
        <v>0</v>
      </c>
      <c r="E25" s="416">
        <f>D25</f>
        <v>0</v>
      </c>
      <c r="F25" s="416">
        <f>C25/C35</f>
        <v>0</v>
      </c>
      <c r="G25" s="419">
        <f>F25</f>
        <v>0</v>
      </c>
      <c r="I25" s="423" t="s">
        <v>32</v>
      </c>
      <c r="J25" s="426">
        <f>COUNTIFS('1. All Data'!$AA$3:$AA$134,"Improving Local Democracy",'1. All Data'!$M$3:$M$134,"In Danger of Falling Behind Target")</f>
        <v>0</v>
      </c>
      <c r="K25" s="416">
        <f>J25/J34</f>
        <v>0</v>
      </c>
      <c r="L25" s="416">
        <f>K25</f>
        <v>0</v>
      </c>
      <c r="M25" s="416">
        <f>J25/J35</f>
        <v>0</v>
      </c>
      <c r="N25" s="419">
        <f>M25</f>
        <v>0</v>
      </c>
      <c r="P25" s="423" t="s">
        <v>32</v>
      </c>
      <c r="Q25" s="426">
        <f>COUNTIFS('1. All Data'!$AA$3:$AA$134,"Improving Local Democracy",'1. All Data'!$R$3:$R$134,"In Danger of Falling Behind Target")</f>
        <v>0</v>
      </c>
      <c r="R25" s="416">
        <f>Q25/Q34</f>
        <v>0</v>
      </c>
      <c r="S25" s="416">
        <f>R25</f>
        <v>0</v>
      </c>
      <c r="T25" s="416">
        <f>Q25/Q35</f>
        <v>0</v>
      </c>
      <c r="U25" s="419">
        <f>T25</f>
        <v>0</v>
      </c>
      <c r="W25" s="169" t="s">
        <v>24</v>
      </c>
      <c r="X25" s="170">
        <f>COUNTIFS('1. All Data'!$AA$3:$AA$134,"Improving Local Democracy",'1. All Data'!$V$3:$V$134,"Numerical Outturn Within 10% Tolerance")</f>
        <v>0</v>
      </c>
      <c r="Y25" s="168">
        <f>X25/$X$34</f>
        <v>0</v>
      </c>
      <c r="Z25" s="413">
        <f>SUM(Y25:Y27)</f>
        <v>0</v>
      </c>
      <c r="AA25" s="168">
        <f t="shared" si="3"/>
        <v>0</v>
      </c>
      <c r="AB25" s="422">
        <f>SUM(AA25:AA27)</f>
        <v>0</v>
      </c>
    </row>
    <row r="26" spans="2:28" ht="20.25" customHeight="1">
      <c r="B26" s="424"/>
      <c r="C26" s="427"/>
      <c r="D26" s="417"/>
      <c r="E26" s="417"/>
      <c r="F26" s="417"/>
      <c r="G26" s="420"/>
      <c r="I26" s="424"/>
      <c r="J26" s="427"/>
      <c r="K26" s="417"/>
      <c r="L26" s="417"/>
      <c r="M26" s="417"/>
      <c r="N26" s="420"/>
      <c r="P26" s="424"/>
      <c r="Q26" s="427"/>
      <c r="R26" s="417"/>
      <c r="S26" s="417"/>
      <c r="T26" s="417"/>
      <c r="U26" s="420"/>
      <c r="W26" s="169" t="s">
        <v>25</v>
      </c>
      <c r="X26" s="170">
        <f>COUNTIFS('1. All Data'!$AA$3:$AA$134,"Improving Local Democracy",'1. All Data'!$V$3:$V$134,"Target Partially Met")</f>
        <v>0</v>
      </c>
      <c r="Y26" s="168">
        <f>X26/$X$34</f>
        <v>0</v>
      </c>
      <c r="Z26" s="413"/>
      <c r="AA26" s="168">
        <f t="shared" si="3"/>
        <v>0</v>
      </c>
      <c r="AB26" s="422"/>
    </row>
    <row r="27" spans="2:28" ht="18.75" customHeight="1">
      <c r="B27" s="425"/>
      <c r="C27" s="428"/>
      <c r="D27" s="418"/>
      <c r="E27" s="418"/>
      <c r="F27" s="418"/>
      <c r="G27" s="421"/>
      <c r="I27" s="425"/>
      <c r="J27" s="428"/>
      <c r="K27" s="418"/>
      <c r="L27" s="418"/>
      <c r="M27" s="418"/>
      <c r="N27" s="421"/>
      <c r="P27" s="425"/>
      <c r="Q27" s="428"/>
      <c r="R27" s="418"/>
      <c r="S27" s="418"/>
      <c r="T27" s="418"/>
      <c r="U27" s="421"/>
      <c r="W27" s="169" t="s">
        <v>28</v>
      </c>
      <c r="X27" s="170">
        <f>COUNTIFS('1. All Data'!$AA$3:$AA$134,"Improving Local Democracy",'1. All Data'!$V$3:$V$134,"Completion Date Within Reasonable Tolerance")</f>
        <v>0</v>
      </c>
      <c r="Y27" s="168">
        <f>X27/$X$34</f>
        <v>0</v>
      </c>
      <c r="Z27" s="413"/>
      <c r="AA27" s="168">
        <f t="shared" si="3"/>
        <v>0</v>
      </c>
      <c r="AB27" s="422"/>
    </row>
    <row r="28" spans="2:28" ht="20.25" customHeight="1">
      <c r="B28" s="171" t="s">
        <v>33</v>
      </c>
      <c r="C28" s="167">
        <f>COUNTIFS('1. All Data'!$AA$3:$AA$134,"Improving Local Democracy",'1. All Data'!$H$3:$H$134,"Completed Behind Schedule")</f>
        <v>0</v>
      </c>
      <c r="D28" s="168">
        <f>C28/C34</f>
        <v>0</v>
      </c>
      <c r="E28" s="413">
        <f>D28+D29</f>
        <v>0</v>
      </c>
      <c r="F28" s="168">
        <f>C28/C35</f>
        <v>0</v>
      </c>
      <c r="G28" s="414">
        <f>F28+F29</f>
        <v>0</v>
      </c>
      <c r="I28" s="171" t="s">
        <v>33</v>
      </c>
      <c r="J28" s="167">
        <f>COUNTIFS('1. All Data'!$AA$3:$AA$134,"Improving Local Democracy",'1. All Data'!$M$3:$M$134,"Completed Behind Schedule")</f>
        <v>0</v>
      </c>
      <c r="K28" s="168">
        <f>J28/J34</f>
        <v>0</v>
      </c>
      <c r="L28" s="413">
        <f>K28+K29</f>
        <v>0</v>
      </c>
      <c r="M28" s="168">
        <f>J28/J35</f>
        <v>0</v>
      </c>
      <c r="N28" s="414">
        <f>M28+M29</f>
        <v>0</v>
      </c>
      <c r="P28" s="171" t="s">
        <v>33</v>
      </c>
      <c r="Q28" s="167">
        <f>COUNTIFS('1. All Data'!$AA$3:$AA$134,"Improving Local Democracy",'1. All Data'!$R$3:$R$134,"Completed Behind Schedule")</f>
        <v>0</v>
      </c>
      <c r="R28" s="168">
        <f>Q28/Q34</f>
        <v>0</v>
      </c>
      <c r="S28" s="413">
        <f>R28+R29</f>
        <v>0</v>
      </c>
      <c r="T28" s="168">
        <f>Q28/Q35</f>
        <v>0</v>
      </c>
      <c r="U28" s="414">
        <f>T28+T29</f>
        <v>0</v>
      </c>
      <c r="W28" s="171" t="s">
        <v>27</v>
      </c>
      <c r="X28" s="167">
        <f>COUNTIFS('1. All Data'!$AA$3:$AA$134,"Improving Local Democracy",'1. All Data'!$V$3:$V$134,"Completed Significantly After Target Deadline")</f>
        <v>0</v>
      </c>
      <c r="Y28" s="168">
        <f>X28/$X$34</f>
        <v>0</v>
      </c>
      <c r="Z28" s="413">
        <f>SUM(Y28:Y29)</f>
        <v>0</v>
      </c>
      <c r="AA28" s="168">
        <f t="shared" si="3"/>
        <v>0</v>
      </c>
      <c r="AB28" s="414">
        <f>AA28+AA29</f>
        <v>0</v>
      </c>
    </row>
    <row r="29" spans="2:28" ht="20.25" customHeight="1">
      <c r="B29" s="171" t="s">
        <v>26</v>
      </c>
      <c r="C29" s="167">
        <f>COUNTIFS('1. All Data'!$AA$3:$AA$134,"Improving Local Democracy",'1. All Data'!$H$3:$H$134,"Off Target")</f>
        <v>0</v>
      </c>
      <c r="D29" s="168">
        <f>C29/C34</f>
        <v>0</v>
      </c>
      <c r="E29" s="413"/>
      <c r="F29" s="168">
        <f>C29/C35</f>
        <v>0</v>
      </c>
      <c r="G29" s="414"/>
      <c r="I29" s="171" t="s">
        <v>26</v>
      </c>
      <c r="J29" s="167">
        <f>COUNTIFS('1. All Data'!$AA$3:$AA$134,"Improving Local Democracy",'1. All Data'!$M$3:$M$134,"Off Target")</f>
        <v>0</v>
      </c>
      <c r="K29" s="168">
        <f>J29/J34</f>
        <v>0</v>
      </c>
      <c r="L29" s="413"/>
      <c r="M29" s="168">
        <f>J29/J35</f>
        <v>0</v>
      </c>
      <c r="N29" s="414"/>
      <c r="P29" s="171" t="s">
        <v>26</v>
      </c>
      <c r="Q29" s="167">
        <f>COUNTIFS('1. All Data'!$AA$3:$AA$134,"Improving Local Democracy",'1. All Data'!$R$3:$R$134,"Off Target")</f>
        <v>0</v>
      </c>
      <c r="R29" s="168">
        <f>Q29/Q34</f>
        <v>0</v>
      </c>
      <c r="S29" s="413"/>
      <c r="T29" s="168">
        <f>Q29/Q35</f>
        <v>0</v>
      </c>
      <c r="U29" s="414"/>
      <c r="W29" s="171" t="s">
        <v>26</v>
      </c>
      <c r="X29" s="167">
        <f>COUNTIFS('1. All Data'!$AA$3:$AA$134,"Improving Local Democracy",'1. All Data'!$V$3:$V$134,"Off Target")</f>
        <v>0</v>
      </c>
      <c r="Y29" s="168">
        <f>X29/$X$34</f>
        <v>0</v>
      </c>
      <c r="Z29" s="413"/>
      <c r="AA29" s="168">
        <f t="shared" si="3"/>
        <v>0</v>
      </c>
      <c r="AB29" s="414"/>
    </row>
    <row r="30" spans="2:28" ht="15" customHeight="1">
      <c r="B30" s="172" t="s">
        <v>49</v>
      </c>
      <c r="C30" s="167">
        <f>COUNTIFS('1. All Data'!$AA$3:$AA$134,"Improving Local Democracy",'1. All Data'!$H$3:$H$134,"Not yet due")</f>
        <v>3</v>
      </c>
      <c r="D30" s="173">
        <f>C30/C34</f>
        <v>0.5</v>
      </c>
      <c r="E30" s="173">
        <f>D30</f>
        <v>0.5</v>
      </c>
      <c r="F30" s="174"/>
      <c r="G30" s="58"/>
      <c r="I30" s="172" t="s">
        <v>49</v>
      </c>
      <c r="J30" s="167">
        <f>COUNTIFS('1. All Data'!$AA$3:$AA$134,"Improving Local Democracy",'1. All Data'!$M$3:$M$134,"Not yet due")</f>
        <v>0</v>
      </c>
      <c r="K30" s="173">
        <f>J30/J34</f>
        <v>0</v>
      </c>
      <c r="L30" s="173">
        <f>K30</f>
        <v>0</v>
      </c>
      <c r="M30" s="174"/>
      <c r="N30" s="58"/>
      <c r="P30" s="172" t="s">
        <v>49</v>
      </c>
      <c r="Q30" s="167">
        <f>COUNTIFS('1. All Data'!$AA$3:$AA$134,"Improving Local Democracy",'1. All Data'!$R$3:$R$134,"Not yet due")</f>
        <v>0</v>
      </c>
      <c r="R30" s="173">
        <f>Q30/Q34</f>
        <v>0</v>
      </c>
      <c r="S30" s="173">
        <f>R30</f>
        <v>0</v>
      </c>
      <c r="T30" s="174"/>
      <c r="U30" s="58"/>
      <c r="W30" s="172" t="s">
        <v>49</v>
      </c>
      <c r="X30" s="167">
        <f>COUNTIFS('1. All Data'!$AA$3:$AA$134,"Improving Local Democracy",'1. All Data'!$V$3:$V$134,"Not yet due")</f>
        <v>0</v>
      </c>
      <c r="Y30" s="168">
        <f t="shared" ref="Y30:Y33" si="4">X30/$X$34</f>
        <v>0</v>
      </c>
      <c r="Z30" s="168">
        <f>Y30</f>
        <v>0</v>
      </c>
      <c r="AA30" s="174"/>
      <c r="AB30" s="58"/>
    </row>
    <row r="31" spans="2:28" ht="15" customHeight="1">
      <c r="B31" s="172" t="s">
        <v>21</v>
      </c>
      <c r="C31" s="167">
        <f>COUNTIFS('1. All Data'!$AA$3:$AA$134,"Improving Local Democracy",'1. All Data'!$H$3:$H$134,"update not provided")</f>
        <v>0</v>
      </c>
      <c r="D31" s="173">
        <f>C31/C34</f>
        <v>0</v>
      </c>
      <c r="E31" s="173">
        <f>D31</f>
        <v>0</v>
      </c>
      <c r="F31" s="174"/>
      <c r="G31" s="2"/>
      <c r="I31" s="172" t="s">
        <v>21</v>
      </c>
      <c r="J31" s="167">
        <f>COUNTIFS('1. All Data'!$AA$3:$AA$134,"Improving Local Democracy",'1. All Data'!$M$3:$M$134,"update not provided")</f>
        <v>0</v>
      </c>
      <c r="K31" s="173">
        <f>J31/J34</f>
        <v>0</v>
      </c>
      <c r="L31" s="173">
        <f>K31</f>
        <v>0</v>
      </c>
      <c r="M31" s="174"/>
      <c r="N31" s="2"/>
      <c r="P31" s="172" t="s">
        <v>21</v>
      </c>
      <c r="Q31" s="167">
        <f>COUNTIFS('1. All Data'!$AA$3:$AA$134,"Improving Local Democracy",'1. All Data'!$R$3:$R$134,"update not provided")</f>
        <v>0</v>
      </c>
      <c r="R31" s="173">
        <f>Q31/Q34</f>
        <v>0</v>
      </c>
      <c r="S31" s="173">
        <f>R31</f>
        <v>0</v>
      </c>
      <c r="T31" s="174"/>
      <c r="U31" s="2"/>
      <c r="W31" s="172" t="s">
        <v>21</v>
      </c>
      <c r="X31" s="167">
        <f>COUNTIFS('1. All Data'!$AA$3:$AA$134,"Improving Local Democracy",'1. All Data'!$V$3:$V$134,"update not provided")</f>
        <v>0</v>
      </c>
      <c r="Y31" s="168">
        <f t="shared" si="4"/>
        <v>0</v>
      </c>
      <c r="Z31" s="168">
        <f t="shared" ref="Z31:Z33" si="5">Y31</f>
        <v>0</v>
      </c>
      <c r="AA31" s="174"/>
      <c r="AB31" s="2"/>
    </row>
    <row r="32" spans="2:28" ht="15.75" customHeight="1">
      <c r="B32" s="175" t="s">
        <v>29</v>
      </c>
      <c r="C32" s="167">
        <f>COUNTIFS('1. All Data'!$AA$3:$AA$134,"Improving Local Democracy",'1. All Data'!$H$3:$H$134,"Deferred")</f>
        <v>0</v>
      </c>
      <c r="D32" s="176">
        <f>C32/C34</f>
        <v>0</v>
      </c>
      <c r="E32" s="176">
        <f>D32</f>
        <v>0</v>
      </c>
      <c r="F32" s="177"/>
      <c r="G32" s="58"/>
      <c r="I32" s="175" t="s">
        <v>29</v>
      </c>
      <c r="J32" s="167">
        <f>COUNTIFS('1. All Data'!$AA$3:$AA$134,"Improving Local Democracy",'1. All Data'!$M$3:$M$134,"Deferred")</f>
        <v>0</v>
      </c>
      <c r="K32" s="176">
        <f>J32/J34</f>
        <v>0</v>
      </c>
      <c r="L32" s="176">
        <f>K32</f>
        <v>0</v>
      </c>
      <c r="M32" s="177"/>
      <c r="N32" s="58"/>
      <c r="P32" s="175" t="s">
        <v>29</v>
      </c>
      <c r="Q32" s="167">
        <f>COUNTIFS('1. All Data'!$AA$3:$AA$134,"Improving Local Democracy",'1. All Data'!$R$3:$R$134,"Deferred")</f>
        <v>0</v>
      </c>
      <c r="R32" s="176">
        <f>Q32/Q34</f>
        <v>0</v>
      </c>
      <c r="S32" s="176">
        <f>R32</f>
        <v>0</v>
      </c>
      <c r="T32" s="177"/>
      <c r="U32" s="58"/>
      <c r="W32" s="175" t="s">
        <v>29</v>
      </c>
      <c r="X32" s="167">
        <f>COUNTIFS('1. All Data'!$AA$3:$AA$134,"Improving Local Democracy8 council",'1. All Data'!$V$3:$V$134,"Deferred")</f>
        <v>0</v>
      </c>
      <c r="Y32" s="168">
        <f t="shared" si="4"/>
        <v>0</v>
      </c>
      <c r="Z32" s="168">
        <f t="shared" si="5"/>
        <v>0</v>
      </c>
      <c r="AA32" s="177"/>
      <c r="AB32" s="58"/>
    </row>
    <row r="33" spans="2:30" ht="15.75" customHeight="1">
      <c r="B33" s="175" t="s">
        <v>30</v>
      </c>
      <c r="C33" s="167">
        <f>COUNTIFS('1. All Data'!$AA$3:$AA$134,"Improving Local Democracy",'1. All Data'!$H$3:$H$134,"Deleted")</f>
        <v>0</v>
      </c>
      <c r="D33" s="176">
        <f>C33/C34</f>
        <v>0</v>
      </c>
      <c r="E33" s="176">
        <f>D33</f>
        <v>0</v>
      </c>
      <c r="F33" s="177"/>
      <c r="G33" s="3"/>
      <c r="I33" s="175" t="s">
        <v>30</v>
      </c>
      <c r="J33" s="167">
        <f>COUNTIFS('1. All Data'!$AA$3:$AA$134,"Improving Local Democracy",'1. All Data'!$M$3:$M$134,"Deleted")</f>
        <v>0</v>
      </c>
      <c r="K33" s="176">
        <f>J33/J34</f>
        <v>0</v>
      </c>
      <c r="L33" s="176">
        <f>K33</f>
        <v>0</v>
      </c>
      <c r="M33" s="177"/>
      <c r="N33" s="3"/>
      <c r="P33" s="175" t="s">
        <v>30</v>
      </c>
      <c r="Q33" s="167">
        <f>COUNTIFS('1. All Data'!$AA$3:$AA$134,"Improving Local Democracy",'1. All Data'!$R$3:$R$134,"Deleted")</f>
        <v>0</v>
      </c>
      <c r="R33" s="176">
        <f>Q33/Q34</f>
        <v>0</v>
      </c>
      <c r="S33" s="176">
        <f>R33</f>
        <v>0</v>
      </c>
      <c r="T33" s="177"/>
      <c r="U33" s="3"/>
      <c r="W33" s="175" t="s">
        <v>30</v>
      </c>
      <c r="X33" s="167">
        <f>COUNTIFS('1. All Data'!$AA$3:$AA$134,"Improving Local Democracy",'1. All Data'!$V$3:$V$134,"Deleted")</f>
        <v>0</v>
      </c>
      <c r="Y33" s="168">
        <f t="shared" si="4"/>
        <v>0</v>
      </c>
      <c r="Z33" s="168">
        <f t="shared" si="5"/>
        <v>0</v>
      </c>
      <c r="AA33" s="177"/>
      <c r="AD33" s="3"/>
    </row>
    <row r="34" spans="2:30" ht="15.75" customHeight="1">
      <c r="B34" s="178" t="s">
        <v>51</v>
      </c>
      <c r="C34" s="179">
        <f>SUM(C23:C33)</f>
        <v>6</v>
      </c>
      <c r="D34" s="177"/>
      <c r="E34" s="177"/>
      <c r="F34" s="58"/>
      <c r="G34" s="58"/>
      <c r="I34" s="178" t="s">
        <v>51</v>
      </c>
      <c r="J34" s="179">
        <f>SUM(J23:J33)</f>
        <v>6</v>
      </c>
      <c r="K34" s="177"/>
      <c r="L34" s="177"/>
      <c r="M34" s="58"/>
      <c r="N34" s="58"/>
      <c r="P34" s="178" t="s">
        <v>51</v>
      </c>
      <c r="Q34" s="179">
        <f>SUM(Q23:Q33)</f>
        <v>6</v>
      </c>
      <c r="R34" s="177"/>
      <c r="S34" s="177"/>
      <c r="T34" s="58"/>
      <c r="U34" s="58"/>
      <c r="W34" s="178" t="s">
        <v>51</v>
      </c>
      <c r="X34" s="179">
        <f>SUM(X23:X33)</f>
        <v>6</v>
      </c>
      <c r="Y34" s="177"/>
      <c r="Z34" s="177"/>
      <c r="AA34" s="58"/>
      <c r="AB34" s="58"/>
    </row>
    <row r="35" spans="2:30" ht="15.75" customHeight="1">
      <c r="B35" s="178" t="s">
        <v>52</v>
      </c>
      <c r="C35" s="179">
        <f>C34-C33-C32-C31-C30</f>
        <v>3</v>
      </c>
      <c r="D35" s="58"/>
      <c r="E35" s="58"/>
      <c r="F35" s="58"/>
      <c r="G35" s="58"/>
      <c r="I35" s="178" t="s">
        <v>52</v>
      </c>
      <c r="J35" s="179">
        <f>J34-J33-J32-J31-J30</f>
        <v>6</v>
      </c>
      <c r="K35" s="58"/>
      <c r="L35" s="58"/>
      <c r="M35" s="58"/>
      <c r="N35" s="58"/>
      <c r="P35" s="178" t="s">
        <v>52</v>
      </c>
      <c r="Q35" s="179">
        <f>Q34-Q33-Q32-Q31-Q30</f>
        <v>6</v>
      </c>
      <c r="R35" s="58"/>
      <c r="S35" s="58"/>
      <c r="T35" s="58"/>
      <c r="U35" s="58"/>
      <c r="W35" s="178" t="s">
        <v>52</v>
      </c>
      <c r="X35" s="179">
        <f>X34-X33-X32-X31-X30</f>
        <v>6</v>
      </c>
      <c r="Y35" s="58"/>
      <c r="Z35" s="58"/>
      <c r="AA35" s="58"/>
      <c r="AB35" s="58"/>
    </row>
    <row r="36" spans="2:30" ht="15.75" hidden="1" customHeight="1">
      <c r="W36" s="185"/>
      <c r="X36" s="165"/>
      <c r="Y36" s="165"/>
      <c r="Z36" s="165"/>
      <c r="AA36" s="58"/>
      <c r="AB36" s="186"/>
    </row>
    <row r="37" spans="2:30" ht="15.75" hidden="1" customHeight="1"/>
    <row r="38" spans="2:30" s="166" customFormat="1" ht="15.75" customHeight="1">
      <c r="B38" s="187"/>
      <c r="C38" s="165"/>
      <c r="D38" s="165"/>
      <c r="E38" s="165"/>
      <c r="F38" s="58"/>
      <c r="G38" s="165"/>
      <c r="H38" s="165"/>
      <c r="I38" s="187"/>
      <c r="J38" s="165"/>
      <c r="K38" s="165"/>
      <c r="L38" s="165"/>
      <c r="M38" s="58"/>
      <c r="N38" s="165"/>
      <c r="O38" s="165"/>
      <c r="P38" s="187"/>
      <c r="Q38" s="165"/>
      <c r="R38" s="165"/>
      <c r="S38" s="165"/>
      <c r="T38" s="58"/>
      <c r="U38" s="165"/>
      <c r="V38" s="165"/>
      <c r="W38" s="165"/>
      <c r="X38" s="165"/>
      <c r="Y38" s="165"/>
      <c r="Z38" s="165"/>
      <c r="AA38" s="165"/>
      <c r="AB38" s="186"/>
    </row>
    <row r="39" spans="2:30" ht="15.75" customHeight="1">
      <c r="B39" s="188" t="s">
        <v>404</v>
      </c>
      <c r="C39" s="189"/>
      <c r="D39" s="189"/>
      <c r="E39" s="189"/>
      <c r="F39" s="190"/>
      <c r="G39" s="191"/>
      <c r="I39" s="188" t="s">
        <v>404</v>
      </c>
      <c r="J39" s="189"/>
      <c r="K39" s="189"/>
      <c r="L39" s="189"/>
      <c r="M39" s="190"/>
      <c r="N39" s="191"/>
      <c r="P39" s="188" t="s">
        <v>404</v>
      </c>
      <c r="Q39" s="189"/>
      <c r="R39" s="189"/>
      <c r="S39" s="189"/>
      <c r="T39" s="190"/>
      <c r="U39" s="191"/>
      <c r="W39" s="188" t="s">
        <v>404</v>
      </c>
      <c r="X39" s="162"/>
      <c r="Y39" s="162"/>
      <c r="Z39" s="162"/>
      <c r="AA39" s="162"/>
      <c r="AB39" s="163"/>
    </row>
    <row r="40" spans="2:30" ht="36" customHeight="1">
      <c r="B40" s="164" t="s">
        <v>42</v>
      </c>
      <c r="C40" s="164" t="s">
        <v>43</v>
      </c>
      <c r="D40" s="164" t="s">
        <v>44</v>
      </c>
      <c r="E40" s="164" t="s">
        <v>45</v>
      </c>
      <c r="F40" s="164" t="s">
        <v>46</v>
      </c>
      <c r="G40" s="164" t="s">
        <v>47</v>
      </c>
      <c r="I40" s="164" t="s">
        <v>42</v>
      </c>
      <c r="J40" s="164" t="s">
        <v>43</v>
      </c>
      <c r="K40" s="164" t="s">
        <v>44</v>
      </c>
      <c r="L40" s="164" t="s">
        <v>45</v>
      </c>
      <c r="M40" s="164" t="s">
        <v>46</v>
      </c>
      <c r="N40" s="164" t="s">
        <v>47</v>
      </c>
      <c r="P40" s="164" t="s">
        <v>42</v>
      </c>
      <c r="Q40" s="164" t="s">
        <v>43</v>
      </c>
      <c r="R40" s="164" t="s">
        <v>44</v>
      </c>
      <c r="S40" s="164" t="s">
        <v>45</v>
      </c>
      <c r="T40" s="164" t="s">
        <v>46</v>
      </c>
      <c r="U40" s="164" t="s">
        <v>47</v>
      </c>
      <c r="W40" s="164" t="s">
        <v>42</v>
      </c>
      <c r="X40" s="164" t="s">
        <v>43</v>
      </c>
      <c r="Y40" s="164" t="s">
        <v>44</v>
      </c>
      <c r="Z40" s="164" t="s">
        <v>45</v>
      </c>
      <c r="AA40" s="164" t="s">
        <v>46</v>
      </c>
      <c r="AB40" s="164" t="s">
        <v>47</v>
      </c>
    </row>
    <row r="41" spans="2:30" ht="18.75" customHeight="1">
      <c r="B41" s="227" t="s">
        <v>48</v>
      </c>
      <c r="C41" s="167">
        <f>COUNTIFS('1. All Data'!$AA$3:$AA$134,"Creating a prosperous East Staffordshire",'1. All Data'!$H$3:$H$134,"Fully Achieved")</f>
        <v>0</v>
      </c>
      <c r="D41" s="168">
        <f>C41/C52</f>
        <v>0</v>
      </c>
      <c r="E41" s="413">
        <f>D41+D42</f>
        <v>0.63636363636363635</v>
      </c>
      <c r="F41" s="168">
        <f>C41/C53</f>
        <v>0</v>
      </c>
      <c r="G41" s="415">
        <f>F41+F42</f>
        <v>1</v>
      </c>
      <c r="I41" s="227" t="s">
        <v>48</v>
      </c>
      <c r="J41" s="167">
        <f>COUNTIFS('1. All Data'!$AA$3:$AA$134,"Creating a prosperous East Staffordshire",'1. All Data'!$M$3:$M$134,"Fully Achieved")</f>
        <v>4</v>
      </c>
      <c r="K41" s="168">
        <f>J41/J52</f>
        <v>0.36363636363636365</v>
      </c>
      <c r="L41" s="413">
        <f>K41+K42</f>
        <v>0.90909090909090906</v>
      </c>
      <c r="M41" s="168">
        <f>J41/J53</f>
        <v>0.4</v>
      </c>
      <c r="N41" s="415">
        <f>M41+M42</f>
        <v>1</v>
      </c>
      <c r="P41" s="227" t="s">
        <v>48</v>
      </c>
      <c r="Q41" s="167">
        <f>COUNTIFS('1. All Data'!$AA$3:$AA$134,"Creating a prosperous East Staffordshire",'1. All Data'!$R$3:$R$134,"Fully Achieved")</f>
        <v>10</v>
      </c>
      <c r="R41" s="168">
        <f>Q41/Q52</f>
        <v>0.90909090909090906</v>
      </c>
      <c r="S41" s="413">
        <f>R41+R42</f>
        <v>0.90909090909090906</v>
      </c>
      <c r="T41" s="168">
        <f>Q41/Q53</f>
        <v>1</v>
      </c>
      <c r="U41" s="415">
        <f>T41+T42</f>
        <v>1</v>
      </c>
      <c r="W41" s="227" t="s">
        <v>48</v>
      </c>
      <c r="X41" s="167">
        <f>COUNTIFS('1. All Data'!$AA$3:$AA$134,"Creating a prosperous East Staffordshire",'1. All Data'!$V$3:$V$134,"Fully Achieved")</f>
        <v>11</v>
      </c>
      <c r="Y41" s="168">
        <f>X41/X52</f>
        <v>1</v>
      </c>
      <c r="Z41" s="413">
        <f>Y41+Y42</f>
        <v>1</v>
      </c>
      <c r="AA41" s="168">
        <f>X41/X53</f>
        <v>1</v>
      </c>
      <c r="AB41" s="415">
        <f>AA41+AA42</f>
        <v>1</v>
      </c>
    </row>
    <row r="42" spans="2:30" ht="18.75" customHeight="1">
      <c r="B42" s="227" t="s">
        <v>31</v>
      </c>
      <c r="C42" s="167">
        <f>COUNTIFS('1. All Data'!$AA$3:$AA$134,"Creating a prosperous East Staffordshire",'1. All Data'!$H$3:$H$134,"On Track to be achieved")</f>
        <v>7</v>
      </c>
      <c r="D42" s="168">
        <f>C42/C52</f>
        <v>0.63636363636363635</v>
      </c>
      <c r="E42" s="413"/>
      <c r="F42" s="168">
        <f>C42/C53</f>
        <v>1</v>
      </c>
      <c r="G42" s="415"/>
      <c r="I42" s="227" t="s">
        <v>31</v>
      </c>
      <c r="J42" s="167">
        <f>COUNTIFS('1. All Data'!$AA$3:$AA$134,"Creating a prosperous East Staffordshire",'1. All Data'!$M$3:$M$134,"On Track to be achieved")</f>
        <v>6</v>
      </c>
      <c r="K42" s="168">
        <f>J42/J52</f>
        <v>0.54545454545454541</v>
      </c>
      <c r="L42" s="413"/>
      <c r="M42" s="168">
        <f>J42/J53</f>
        <v>0.6</v>
      </c>
      <c r="N42" s="415"/>
      <c r="P42" s="227" t="s">
        <v>31</v>
      </c>
      <c r="Q42" s="167">
        <f>COUNTIFS('1. All Data'!$AA$3:$AA$134,"Creating a prosperous East Staffordshire",'1. All Data'!$R$3:$R$134,"On Track to be achieved")</f>
        <v>0</v>
      </c>
      <c r="R42" s="168">
        <f>Q42/Q52</f>
        <v>0</v>
      </c>
      <c r="S42" s="413"/>
      <c r="T42" s="168">
        <f>Q42/Q53</f>
        <v>0</v>
      </c>
      <c r="U42" s="415"/>
      <c r="W42" s="227" t="s">
        <v>23</v>
      </c>
      <c r="X42" s="167">
        <f>COUNTIFS('1. All Data'!$AA$3:$AA$134,"Creating a prosperous East Staffordshire",'1. All Data'!$V$3:$V$134,"Numerical Outturn Within 5% Tolerance")</f>
        <v>0</v>
      </c>
      <c r="Y42" s="168">
        <f>X42/X52</f>
        <v>0</v>
      </c>
      <c r="Z42" s="413"/>
      <c r="AA42" s="168">
        <f>X42/X53</f>
        <v>0</v>
      </c>
      <c r="AB42" s="415"/>
    </row>
    <row r="43" spans="2:30" ht="19.5" customHeight="1">
      <c r="B43" s="423" t="s">
        <v>32</v>
      </c>
      <c r="C43" s="426">
        <f>COUNTIFS('1. All Data'!$AA$3:$AA$134,"Creating a prosperous East Staffordshire",'1. All Data'!$H$3:$H$134,"In Danger of Falling Behind Target")</f>
        <v>0</v>
      </c>
      <c r="D43" s="416">
        <f>C43/C52</f>
        <v>0</v>
      </c>
      <c r="E43" s="416">
        <f>D43</f>
        <v>0</v>
      </c>
      <c r="F43" s="416">
        <f>C43/C53</f>
        <v>0</v>
      </c>
      <c r="G43" s="419">
        <f>F43</f>
        <v>0</v>
      </c>
      <c r="I43" s="423" t="s">
        <v>32</v>
      </c>
      <c r="J43" s="426">
        <f>COUNTIFS('1. All Data'!$AA$3:$AA$134,"Creating a prosperous East Staffordshire",'1. All Data'!$M$3:$M$134,"In Danger of Falling Behind Target")</f>
        <v>0</v>
      </c>
      <c r="K43" s="416">
        <f>J43/J52</f>
        <v>0</v>
      </c>
      <c r="L43" s="416">
        <f>K43</f>
        <v>0</v>
      </c>
      <c r="M43" s="416">
        <f>J43/J53</f>
        <v>0</v>
      </c>
      <c r="N43" s="419">
        <f>M43</f>
        <v>0</v>
      </c>
      <c r="P43" s="423" t="s">
        <v>32</v>
      </c>
      <c r="Q43" s="426">
        <f>COUNTIFS('1. All Data'!$AA$3:$AA$134,"Creating a prosperous East Staffordshire",'1. All Data'!$R$3:$R$134,"In Danger of Falling Behind Target")</f>
        <v>0</v>
      </c>
      <c r="R43" s="416">
        <f>Q43/Q52</f>
        <v>0</v>
      </c>
      <c r="S43" s="416">
        <f>R43</f>
        <v>0</v>
      </c>
      <c r="T43" s="416">
        <f>Q43/Q53</f>
        <v>0</v>
      </c>
      <c r="U43" s="419">
        <f>T43</f>
        <v>0</v>
      </c>
      <c r="W43" s="169" t="s">
        <v>24</v>
      </c>
      <c r="X43" s="170">
        <f>COUNTIFS('1. All Data'!$AA$3:$AA$134,"Creating a prosperous East Staffordshire",'1. All Data'!$V$3:$V$134,"Numerical Outturn Within 10% Tolerance")</f>
        <v>0</v>
      </c>
      <c r="Y43" s="168">
        <f>X43/X52</f>
        <v>0</v>
      </c>
      <c r="Z43" s="413">
        <f>SUM(Y43:Y45)</f>
        <v>0</v>
      </c>
      <c r="AA43" s="168">
        <f>X43/X53</f>
        <v>0</v>
      </c>
      <c r="AB43" s="422">
        <f>SUM(AA43:AA45)</f>
        <v>0</v>
      </c>
    </row>
    <row r="44" spans="2:30" ht="19.5" customHeight="1">
      <c r="B44" s="424"/>
      <c r="C44" s="427"/>
      <c r="D44" s="417"/>
      <c r="E44" s="417"/>
      <c r="F44" s="417"/>
      <c r="G44" s="420"/>
      <c r="I44" s="424"/>
      <c r="J44" s="427"/>
      <c r="K44" s="417"/>
      <c r="L44" s="417"/>
      <c r="M44" s="417"/>
      <c r="N44" s="420"/>
      <c r="P44" s="424"/>
      <c r="Q44" s="427"/>
      <c r="R44" s="417"/>
      <c r="S44" s="417"/>
      <c r="T44" s="417"/>
      <c r="U44" s="420"/>
      <c r="W44" s="169" t="s">
        <v>25</v>
      </c>
      <c r="X44" s="170">
        <f>COUNTIFS('1. All Data'!$AA$3:$AA$134,"Creating a prosperous East Staffordshire",'1. All Data'!$V$3:$V$134,"Target Partially Met")</f>
        <v>0</v>
      </c>
      <c r="Y44" s="168">
        <f>X44/X52</f>
        <v>0</v>
      </c>
      <c r="Z44" s="413"/>
      <c r="AA44" s="168">
        <f>X44/X53</f>
        <v>0</v>
      </c>
      <c r="AB44" s="422"/>
    </row>
    <row r="45" spans="2:30" ht="19.5" customHeight="1">
      <c r="B45" s="425"/>
      <c r="C45" s="428"/>
      <c r="D45" s="418"/>
      <c r="E45" s="418"/>
      <c r="F45" s="418"/>
      <c r="G45" s="421"/>
      <c r="I45" s="425"/>
      <c r="J45" s="428"/>
      <c r="K45" s="418"/>
      <c r="L45" s="418"/>
      <c r="M45" s="418"/>
      <c r="N45" s="421"/>
      <c r="P45" s="425"/>
      <c r="Q45" s="428"/>
      <c r="R45" s="418"/>
      <c r="S45" s="418"/>
      <c r="T45" s="418"/>
      <c r="U45" s="421"/>
      <c r="W45" s="169" t="s">
        <v>28</v>
      </c>
      <c r="X45" s="170">
        <f>COUNTIFS('1. All Data'!$AA$3:$AA$134,"Creating a prosperous East Staffordshire",'1. All Data'!$V$3:$V$134,"Completion Date Within Reasonable Tolerance")</f>
        <v>0</v>
      </c>
      <c r="Y45" s="168">
        <f>X45/X52</f>
        <v>0</v>
      </c>
      <c r="Z45" s="413"/>
      <c r="AA45" s="168">
        <f>X45/X53</f>
        <v>0</v>
      </c>
      <c r="AB45" s="422"/>
    </row>
    <row r="46" spans="2:30" ht="22.5" customHeight="1">
      <c r="B46" s="171" t="s">
        <v>33</v>
      </c>
      <c r="C46" s="167">
        <f>COUNTIFS('1. All Data'!$AA$3:$AA$134,"Creating a prosperous East Staffordshire",'1. All Data'!$H$3:$H$134,"Completed Behind Schedule")</f>
        <v>0</v>
      </c>
      <c r="D46" s="168">
        <f>C46/C52</f>
        <v>0</v>
      </c>
      <c r="E46" s="413">
        <f>D46+D47</f>
        <v>0</v>
      </c>
      <c r="F46" s="168">
        <f>C46/C53</f>
        <v>0</v>
      </c>
      <c r="G46" s="414">
        <f>F46+F47</f>
        <v>0</v>
      </c>
      <c r="I46" s="171" t="s">
        <v>33</v>
      </c>
      <c r="J46" s="167">
        <f>COUNTIFS('1. All Data'!$AA$3:$AA$134,"Creating a prosperous East Staffordshire",'1. All Data'!$M$3:$M$134,"Completed Behind Schedule")</f>
        <v>0</v>
      </c>
      <c r="K46" s="168">
        <f>J46/J52</f>
        <v>0</v>
      </c>
      <c r="L46" s="413">
        <f>K46+K47</f>
        <v>0</v>
      </c>
      <c r="M46" s="168">
        <f>J46/J53</f>
        <v>0</v>
      </c>
      <c r="N46" s="414">
        <f>M46+M47</f>
        <v>0</v>
      </c>
      <c r="P46" s="171" t="s">
        <v>33</v>
      </c>
      <c r="Q46" s="167">
        <f>COUNTIFS('1. All Data'!$AA$3:$AA$134,"Creating a prosperous East Staffordshire",'1. All Data'!$R$3:$R$134,"Completed Behind Schedule")</f>
        <v>0</v>
      </c>
      <c r="R46" s="168">
        <f>Q46/Q52</f>
        <v>0</v>
      </c>
      <c r="S46" s="413">
        <f>R46+R47</f>
        <v>0</v>
      </c>
      <c r="T46" s="168">
        <f>Q46/Q53</f>
        <v>0</v>
      </c>
      <c r="U46" s="414">
        <f>T46+T47</f>
        <v>0</v>
      </c>
      <c r="W46" s="171" t="s">
        <v>27</v>
      </c>
      <c r="X46" s="167">
        <f>COUNTIFS('1. All Data'!$AA$3:$AA$134,"Creating a prosperous East Staffordshire",'1. All Data'!$V$3:$V$134,"Completed Significantly After Target Deadline")</f>
        <v>0</v>
      </c>
      <c r="Y46" s="168">
        <f>X46/X52</f>
        <v>0</v>
      </c>
      <c r="Z46" s="413">
        <f>SUM(Y46:Y47)</f>
        <v>0</v>
      </c>
      <c r="AA46" s="168">
        <f>X46/X53</f>
        <v>0</v>
      </c>
      <c r="AB46" s="414">
        <f>AA46+AA47</f>
        <v>0</v>
      </c>
    </row>
    <row r="47" spans="2:30" ht="22.5" customHeight="1">
      <c r="B47" s="171" t="s">
        <v>26</v>
      </c>
      <c r="C47" s="167">
        <f>COUNTIFS('1. All Data'!$AA$3:$AA$134,"Creating a prosperous East Staffordshire",'1. All Data'!$H$3:$H$134,"Off Target")</f>
        <v>0</v>
      </c>
      <c r="D47" s="168">
        <f>C47/C52</f>
        <v>0</v>
      </c>
      <c r="E47" s="413"/>
      <c r="F47" s="168">
        <f>C47/C53</f>
        <v>0</v>
      </c>
      <c r="G47" s="414"/>
      <c r="I47" s="171" t="s">
        <v>26</v>
      </c>
      <c r="J47" s="167">
        <f>COUNTIFS('1. All Data'!$AA$3:$AA$134,"Creating a prosperous East Staffordshire",'1. All Data'!$M$3:$M$134,"Off Target")</f>
        <v>0</v>
      </c>
      <c r="K47" s="168">
        <f>J47/J52</f>
        <v>0</v>
      </c>
      <c r="L47" s="413"/>
      <c r="M47" s="168">
        <f>J47/J53</f>
        <v>0</v>
      </c>
      <c r="N47" s="414"/>
      <c r="P47" s="171" t="s">
        <v>26</v>
      </c>
      <c r="Q47" s="167">
        <f>COUNTIFS('1. All Data'!$AA$3:$AA$134,"Creating a prosperous East Staffordshire",'1. All Data'!$R$3:$R$134,"Off Target")</f>
        <v>0</v>
      </c>
      <c r="R47" s="168">
        <f>Q47/Q52</f>
        <v>0</v>
      </c>
      <c r="S47" s="413"/>
      <c r="T47" s="168">
        <f>Q47/Q53</f>
        <v>0</v>
      </c>
      <c r="U47" s="414"/>
      <c r="W47" s="171" t="s">
        <v>26</v>
      </c>
      <c r="X47" s="167">
        <f>COUNTIFS('1. All Data'!$AA$3:$AA$134,"Creating a prosperous East Staffordshire",'1. All Data'!$V$3:$V$134,"Off Target")</f>
        <v>0</v>
      </c>
      <c r="Y47" s="168">
        <f>X47/X52</f>
        <v>0</v>
      </c>
      <c r="Z47" s="413"/>
      <c r="AA47" s="168">
        <f>X47/X53</f>
        <v>0</v>
      </c>
      <c r="AB47" s="414"/>
    </row>
    <row r="48" spans="2:30" ht="15.75" customHeight="1">
      <c r="B48" s="172" t="s">
        <v>49</v>
      </c>
      <c r="C48" s="167">
        <f>COUNTIFS('1. All Data'!$AA$3:$AA$134,"Creating a prosperous East Staffordshire",'1. All Data'!$H$3:$H$134,"Not yet due")</f>
        <v>4</v>
      </c>
      <c r="D48" s="173">
        <f>C48/C52</f>
        <v>0.36363636363636365</v>
      </c>
      <c r="E48" s="173">
        <f>D48</f>
        <v>0.36363636363636365</v>
      </c>
      <c r="F48" s="174"/>
      <c r="G48" s="58"/>
      <c r="I48" s="172" t="s">
        <v>49</v>
      </c>
      <c r="J48" s="167">
        <f>COUNTIFS('1. All Data'!$AA$3:$AA$134,"Creating a prosperous East Staffordshire",'1. All Data'!$M$3:$M$134,"Not yet due")</f>
        <v>1</v>
      </c>
      <c r="K48" s="173">
        <f>J48/J52</f>
        <v>9.0909090909090912E-2</v>
      </c>
      <c r="L48" s="173">
        <f>K48</f>
        <v>9.0909090909090912E-2</v>
      </c>
      <c r="M48" s="174"/>
      <c r="N48" s="58"/>
      <c r="P48" s="172" t="s">
        <v>49</v>
      </c>
      <c r="Q48" s="167">
        <f>COUNTIFS('1. All Data'!$AA$3:$AA$134,"Creating a prosperous East Staffordshire",'1. All Data'!$R$3:$R$134,"Not yet due")</f>
        <v>1</v>
      </c>
      <c r="R48" s="173">
        <f>Q48/Q52</f>
        <v>9.0909090909090912E-2</v>
      </c>
      <c r="S48" s="173">
        <f>R48</f>
        <v>9.0909090909090912E-2</v>
      </c>
      <c r="T48" s="174"/>
      <c r="U48" s="58"/>
      <c r="W48" s="172" t="s">
        <v>49</v>
      </c>
      <c r="X48" s="167">
        <f>COUNTIFS('1. All Data'!$AA$3:$AA$134,"Creating a prosperous East Staffordshire",'1. All Data'!$V$3:$V$134,"Not yet due")</f>
        <v>0</v>
      </c>
      <c r="Y48" s="168">
        <f>X48/X52</f>
        <v>0</v>
      </c>
      <c r="Z48" s="168">
        <f>Y48</f>
        <v>0</v>
      </c>
      <c r="AA48" s="174"/>
      <c r="AB48" s="58"/>
    </row>
    <row r="49" spans="2:30" ht="15.75" customHeight="1">
      <c r="B49" s="172" t="s">
        <v>21</v>
      </c>
      <c r="C49" s="167">
        <f>COUNTIFS('1. All Data'!$AA$3:$AA$134,"Creating a prosperous East Staffordshire",'1. All Data'!$H$3:$H$134,"update not provided")</f>
        <v>0</v>
      </c>
      <c r="D49" s="173">
        <f>C49/C52</f>
        <v>0</v>
      </c>
      <c r="E49" s="173">
        <f>D49</f>
        <v>0</v>
      </c>
      <c r="F49" s="174"/>
      <c r="G49" s="2"/>
      <c r="I49" s="172" t="s">
        <v>21</v>
      </c>
      <c r="J49" s="167">
        <f>COUNTIFS('1. All Data'!$AA$3:$AA$134,"Creating a prosperous East Staffordshire",'1. All Data'!$M$3:$M$134,"update not provided")</f>
        <v>0</v>
      </c>
      <c r="K49" s="173">
        <f>J49/J52</f>
        <v>0</v>
      </c>
      <c r="L49" s="173">
        <f>K49</f>
        <v>0</v>
      </c>
      <c r="M49" s="174"/>
      <c r="N49" s="2"/>
      <c r="P49" s="172" t="s">
        <v>21</v>
      </c>
      <c r="Q49" s="167">
        <f>COUNTIFS('1. All Data'!$AA$3:$AA$134,"Creating a prosperous East Staffordshire",'1. All Data'!$R$3:$R$134,"update not provided")</f>
        <v>0</v>
      </c>
      <c r="R49" s="173">
        <f>Q49/Q52</f>
        <v>0</v>
      </c>
      <c r="S49" s="173">
        <f>R49</f>
        <v>0</v>
      </c>
      <c r="T49" s="174"/>
      <c r="U49" s="2"/>
      <c r="W49" s="172" t="s">
        <v>21</v>
      </c>
      <c r="X49" s="167">
        <f>COUNTIFS('1. All Data'!$AA$3:$AA$134,"Creating a prosperous East Staffordshire",'1. All Data'!$V$3:$V$134,"update not provided")</f>
        <v>0</v>
      </c>
      <c r="Y49" s="168">
        <f>X49/X52</f>
        <v>0</v>
      </c>
      <c r="Z49" s="168">
        <f t="shared" ref="Z49:Z51" si="6">Y49</f>
        <v>0</v>
      </c>
      <c r="AA49" s="174"/>
      <c r="AB49" s="2"/>
    </row>
    <row r="50" spans="2:30" ht="15.75" customHeight="1">
      <c r="B50" s="175" t="s">
        <v>29</v>
      </c>
      <c r="C50" s="167">
        <f>COUNTIFS('1. All Data'!$AA$3:$AA$134,"Creating a prosperous East Staffordshire",'1. All Data'!$H$3:$H$134,"Deferred")</f>
        <v>0</v>
      </c>
      <c r="D50" s="176">
        <f>C50/C52</f>
        <v>0</v>
      </c>
      <c r="E50" s="176">
        <f>D50</f>
        <v>0</v>
      </c>
      <c r="F50" s="177"/>
      <c r="G50" s="58"/>
      <c r="I50" s="175" t="s">
        <v>29</v>
      </c>
      <c r="J50" s="167">
        <f>COUNTIFS('1. All Data'!$AA$3:$AA$134,"Creating a prosperous East Staffordshire",'1. All Data'!$M$3:$M$134,"Deferred")</f>
        <v>0</v>
      </c>
      <c r="K50" s="176">
        <f>J50/J52</f>
        <v>0</v>
      </c>
      <c r="L50" s="176">
        <f>K50</f>
        <v>0</v>
      </c>
      <c r="M50" s="177"/>
      <c r="N50" s="58"/>
      <c r="P50" s="175" t="s">
        <v>29</v>
      </c>
      <c r="Q50" s="167">
        <f>COUNTIFS('1. All Data'!$AA$3:$AA$134,"Creating a prosperous East Staffordshire",'1. All Data'!$R$3:$R$134,"Deferred")</f>
        <v>0</v>
      </c>
      <c r="R50" s="176">
        <f>Q50/Q52</f>
        <v>0</v>
      </c>
      <c r="S50" s="176">
        <f>R50</f>
        <v>0</v>
      </c>
      <c r="T50" s="177"/>
      <c r="U50" s="58"/>
      <c r="W50" s="175" t="s">
        <v>29</v>
      </c>
      <c r="X50" s="167">
        <f>COUNTIFS('1. All Data'!$AA$3:$AA$134,"Creating a prosperous East Staffordshire",'1. All Data'!$V$3:$V$134,"Deferred")</f>
        <v>0</v>
      </c>
      <c r="Y50" s="168">
        <f>X50/X52</f>
        <v>0</v>
      </c>
      <c r="Z50" s="168">
        <f t="shared" si="6"/>
        <v>0</v>
      </c>
      <c r="AA50" s="177"/>
      <c r="AB50" s="58"/>
    </row>
    <row r="51" spans="2:30" ht="15.75" customHeight="1">
      <c r="B51" s="175" t="s">
        <v>30</v>
      </c>
      <c r="C51" s="192">
        <f>COUNTIFS('1. All Data'!$AA$3:$AA$134,"Creating a prosperous East Staffordshire",'1. All Data'!$H$3:$H$134,"Deleted")</f>
        <v>0</v>
      </c>
      <c r="D51" s="176">
        <f>C51/C52</f>
        <v>0</v>
      </c>
      <c r="E51" s="176">
        <f>D51</f>
        <v>0</v>
      </c>
      <c r="F51" s="177"/>
      <c r="G51" s="3"/>
      <c r="I51" s="175" t="s">
        <v>30</v>
      </c>
      <c r="J51" s="192">
        <f>COUNTIFS('1. All Data'!$AA$3:$AA$134,"Creating a prosperous East Staffordshire",'1. All Data'!$M$3:$M$134,"Deleted")</f>
        <v>0</v>
      </c>
      <c r="K51" s="176">
        <f>J51/J52</f>
        <v>0</v>
      </c>
      <c r="L51" s="176">
        <f>K51</f>
        <v>0</v>
      </c>
      <c r="M51" s="177"/>
      <c r="N51" s="3"/>
      <c r="P51" s="175" t="s">
        <v>30</v>
      </c>
      <c r="Q51" s="192">
        <f>COUNTIFS('1. All Data'!$AA$3:$AA$134,"Creating a prosperous East Staffordshire",'1. All Data'!$R$3:$R$134,"Deleted")</f>
        <v>0</v>
      </c>
      <c r="R51" s="176">
        <f>Q51/Q52</f>
        <v>0</v>
      </c>
      <c r="S51" s="176">
        <f>R51</f>
        <v>0</v>
      </c>
      <c r="T51" s="177"/>
      <c r="U51" s="3"/>
      <c r="W51" s="175" t="s">
        <v>30</v>
      </c>
      <c r="X51" s="167">
        <f>COUNTIFS('1. All Data'!$AA$3:$AA$134,"Creating a prosperous East Staffordshire",'1. All Data'!$V$3:$V$134,"Deleted")</f>
        <v>0</v>
      </c>
      <c r="Y51" s="168">
        <f>X51/X52</f>
        <v>0</v>
      </c>
      <c r="Z51" s="168">
        <f t="shared" si="6"/>
        <v>0</v>
      </c>
      <c r="AA51" s="177"/>
      <c r="AD51" s="3"/>
    </row>
    <row r="52" spans="2:30" ht="15.75" customHeight="1">
      <c r="B52" s="193" t="s">
        <v>51</v>
      </c>
      <c r="C52" s="179">
        <f>SUM(C41:C51)</f>
        <v>11</v>
      </c>
      <c r="D52" s="177"/>
      <c r="E52" s="177"/>
      <c r="F52" s="58"/>
      <c r="G52" s="58"/>
      <c r="I52" s="193" t="s">
        <v>51</v>
      </c>
      <c r="J52" s="179">
        <f>SUM(J41:J51)</f>
        <v>11</v>
      </c>
      <c r="K52" s="177"/>
      <c r="L52" s="177"/>
      <c r="M52" s="58"/>
      <c r="N52" s="58"/>
      <c r="P52" s="193" t="s">
        <v>51</v>
      </c>
      <c r="Q52" s="179">
        <f>SUM(Q41:Q51)</f>
        <v>11</v>
      </c>
      <c r="R52" s="177"/>
      <c r="S52" s="177"/>
      <c r="T52" s="58"/>
      <c r="U52" s="58"/>
      <c r="W52" s="178" t="s">
        <v>51</v>
      </c>
      <c r="X52" s="179">
        <f>SUM(X41:X51)</f>
        <v>11</v>
      </c>
      <c r="Y52" s="177"/>
      <c r="Z52" s="177"/>
      <c r="AA52" s="58"/>
      <c r="AB52" s="58"/>
    </row>
    <row r="53" spans="2:30" ht="15.75" customHeight="1">
      <c r="B53" s="193" t="s">
        <v>52</v>
      </c>
      <c r="C53" s="179">
        <f>C52-C51-C50-C49-C48</f>
        <v>7</v>
      </c>
      <c r="D53" s="58"/>
      <c r="E53" s="58"/>
      <c r="F53" s="58"/>
      <c r="G53" s="58"/>
      <c r="I53" s="193" t="s">
        <v>52</v>
      </c>
      <c r="J53" s="179">
        <f>J52-J51-J50-J49-J48</f>
        <v>10</v>
      </c>
      <c r="K53" s="58"/>
      <c r="L53" s="58"/>
      <c r="M53" s="58"/>
      <c r="N53" s="58"/>
      <c r="P53" s="193" t="s">
        <v>52</v>
      </c>
      <c r="Q53" s="179">
        <f>Q52-Q51-Q50-Q49-Q48</f>
        <v>10</v>
      </c>
      <c r="R53" s="58"/>
      <c r="S53" s="58"/>
      <c r="T53" s="58"/>
      <c r="U53" s="58"/>
      <c r="W53" s="178" t="s">
        <v>52</v>
      </c>
      <c r="X53" s="179">
        <f>X52-X51-X50-X49-X48</f>
        <v>11</v>
      </c>
      <c r="Y53" s="58"/>
      <c r="Z53" s="58"/>
      <c r="AA53" s="58"/>
      <c r="AB53" s="58"/>
    </row>
    <row r="54" spans="2:30" ht="15.75" hidden="1" customHeight="1">
      <c r="X54" s="194"/>
    </row>
    <row r="55" spans="2:30" ht="15.75" hidden="1" customHeight="1">
      <c r="X55" s="194"/>
    </row>
    <row r="56" spans="2:30" ht="15.75" customHeight="1">
      <c r="X56" s="194"/>
    </row>
    <row r="57" spans="2:30" ht="15.75" customHeight="1">
      <c r="B57" s="188" t="s">
        <v>405</v>
      </c>
      <c r="C57" s="189"/>
      <c r="D57" s="189"/>
      <c r="E57" s="189"/>
      <c r="F57" s="190"/>
      <c r="G57" s="191"/>
      <c r="I57" s="188" t="s">
        <v>405</v>
      </c>
      <c r="J57" s="189"/>
      <c r="K57" s="189"/>
      <c r="L57" s="189"/>
      <c r="M57" s="190"/>
      <c r="N57" s="191"/>
      <c r="P57" s="188" t="s">
        <v>405</v>
      </c>
      <c r="Q57" s="189"/>
      <c r="R57" s="189"/>
      <c r="S57" s="189"/>
      <c r="T57" s="190"/>
      <c r="U57" s="191"/>
      <c r="W57" s="188" t="s">
        <v>405</v>
      </c>
      <c r="X57" s="195"/>
      <c r="Y57" s="162"/>
      <c r="Z57" s="162"/>
      <c r="AA57" s="162"/>
      <c r="AB57" s="163"/>
    </row>
    <row r="58" spans="2:30" ht="41.25" customHeight="1">
      <c r="B58" s="164" t="s">
        <v>42</v>
      </c>
      <c r="C58" s="164" t="s">
        <v>43</v>
      </c>
      <c r="D58" s="164" t="s">
        <v>44</v>
      </c>
      <c r="E58" s="164" t="s">
        <v>45</v>
      </c>
      <c r="F58" s="164" t="s">
        <v>46</v>
      </c>
      <c r="G58" s="164" t="s">
        <v>47</v>
      </c>
      <c r="I58" s="164" t="s">
        <v>42</v>
      </c>
      <c r="J58" s="164" t="s">
        <v>43</v>
      </c>
      <c r="K58" s="164" t="s">
        <v>44</v>
      </c>
      <c r="L58" s="164" t="s">
        <v>45</v>
      </c>
      <c r="M58" s="164" t="s">
        <v>46</v>
      </c>
      <c r="N58" s="164" t="s">
        <v>47</v>
      </c>
      <c r="P58" s="164" t="s">
        <v>42</v>
      </c>
      <c r="Q58" s="164" t="s">
        <v>43</v>
      </c>
      <c r="R58" s="164" t="s">
        <v>44</v>
      </c>
      <c r="S58" s="164" t="s">
        <v>45</v>
      </c>
      <c r="T58" s="164" t="s">
        <v>46</v>
      </c>
      <c r="U58" s="164" t="s">
        <v>47</v>
      </c>
      <c r="W58" s="164" t="s">
        <v>42</v>
      </c>
      <c r="X58" s="164" t="s">
        <v>43</v>
      </c>
      <c r="Y58" s="164" t="s">
        <v>44</v>
      </c>
      <c r="Z58" s="164" t="s">
        <v>45</v>
      </c>
      <c r="AA58" s="164" t="s">
        <v>46</v>
      </c>
      <c r="AB58" s="164" t="s">
        <v>47</v>
      </c>
    </row>
    <row r="59" spans="2:30" ht="27.75" customHeight="1">
      <c r="B59" s="227" t="s">
        <v>48</v>
      </c>
      <c r="C59" s="167">
        <f>COUNTIFS('1. All Data'!$AA$3:$AA$134,"Developing a Green New Deal for East Staffordshire",'1. All Data'!$H$3:$H$134,"Fully Achieved")</f>
        <v>0</v>
      </c>
      <c r="D59" s="168">
        <f>C59/C70</f>
        <v>0</v>
      </c>
      <c r="E59" s="413">
        <f>D59+D60</f>
        <v>0.54545454545454541</v>
      </c>
      <c r="F59" s="168">
        <f>C59/C71</f>
        <v>0</v>
      </c>
      <c r="G59" s="415">
        <f>F59+F60</f>
        <v>0.8571428571428571</v>
      </c>
      <c r="I59" s="227" t="s">
        <v>48</v>
      </c>
      <c r="J59" s="167">
        <f>COUNTIFS('1. All Data'!$AA$3:$AA$134,"Developing a Green New Deal for East Staffordshire",'1. All Data'!$M$3:$M$134,"Fully Achieved")</f>
        <v>1</v>
      </c>
      <c r="K59" s="168">
        <f>J59/J70</f>
        <v>9.0909090909090912E-2</v>
      </c>
      <c r="L59" s="413">
        <f>K59+K60</f>
        <v>0.90909090909090917</v>
      </c>
      <c r="M59" s="168">
        <f>J59/J71</f>
        <v>0.1</v>
      </c>
      <c r="N59" s="415">
        <f>M59+M60</f>
        <v>1</v>
      </c>
      <c r="P59" s="227" t="s">
        <v>48</v>
      </c>
      <c r="Q59" s="167">
        <f>COUNTIFS('1. All Data'!$AA$3:$AA$134,"Developing a Green New Deal for East Staffordshire",'1. All Data'!$R$3:$R$134,"Fully Achieved")</f>
        <v>8</v>
      </c>
      <c r="R59" s="168">
        <f>Q59/Q70</f>
        <v>0.72727272727272729</v>
      </c>
      <c r="S59" s="413">
        <f>R59+R60</f>
        <v>1</v>
      </c>
      <c r="T59" s="168">
        <f>Q59/Q71</f>
        <v>0.72727272727272729</v>
      </c>
      <c r="U59" s="415">
        <f>T59+T60</f>
        <v>1</v>
      </c>
      <c r="W59" s="227" t="s">
        <v>48</v>
      </c>
      <c r="X59" s="167">
        <f>COUNTIFS('1. All Data'!$AA$3:$AA$134,"Developing a Green New Deal for East Staffordshire",'1. All Data'!$V$3:$V$134,"Fully Achieved")</f>
        <v>10</v>
      </c>
      <c r="Y59" s="168">
        <f>X59/X70</f>
        <v>0.90909090909090906</v>
      </c>
      <c r="Z59" s="413">
        <f>Y59+Y60</f>
        <v>0.90909090909090906</v>
      </c>
      <c r="AA59" s="168">
        <f>X59/X71</f>
        <v>0.90909090909090906</v>
      </c>
      <c r="AB59" s="415">
        <f>AA59+AA60</f>
        <v>0.90909090909090906</v>
      </c>
    </row>
    <row r="60" spans="2:30" ht="27.75" customHeight="1">
      <c r="B60" s="227" t="s">
        <v>31</v>
      </c>
      <c r="C60" s="167">
        <f>COUNTIFS('1. All Data'!$AA$3:$AA$134,"Developing a Green New Deal for East Staffordshire",'1. All Data'!$H$3:$H$134,"On Track to be achieved")</f>
        <v>6</v>
      </c>
      <c r="D60" s="168">
        <f>C60/C70</f>
        <v>0.54545454545454541</v>
      </c>
      <c r="E60" s="413"/>
      <c r="F60" s="168">
        <f>C60/C71</f>
        <v>0.8571428571428571</v>
      </c>
      <c r="G60" s="415"/>
      <c r="I60" s="227" t="s">
        <v>31</v>
      </c>
      <c r="J60" s="167">
        <f>COUNTIFS('1. All Data'!$AA$3:$AA$134,"Developing a Green New Deal for East Staffordshire",'1. All Data'!$M$3:$M$134,"On Track to be achieved")</f>
        <v>9</v>
      </c>
      <c r="K60" s="168">
        <f>J60/J70</f>
        <v>0.81818181818181823</v>
      </c>
      <c r="L60" s="413"/>
      <c r="M60" s="168">
        <f>J60/J71</f>
        <v>0.9</v>
      </c>
      <c r="N60" s="415"/>
      <c r="P60" s="227" t="s">
        <v>31</v>
      </c>
      <c r="Q60" s="167">
        <f>COUNTIFS('1. All Data'!$AA$3:$AA$134,"Developing a Green New Deal for East Staffordshire",'1. All Data'!$R$3:$R$134,"On Track to be achieved")</f>
        <v>3</v>
      </c>
      <c r="R60" s="168">
        <f>Q60/Q70</f>
        <v>0.27272727272727271</v>
      </c>
      <c r="S60" s="413"/>
      <c r="T60" s="168">
        <f>Q60/Q71</f>
        <v>0.27272727272727271</v>
      </c>
      <c r="U60" s="415"/>
      <c r="W60" s="227" t="s">
        <v>23</v>
      </c>
      <c r="X60" s="167">
        <f>COUNTIFS('1. All Data'!$AA$3:$AA$134,"Developing a Green New Deal for East Staffordshire",'1. All Data'!$V$3:$V$134,"Numerical Outturn Within 5% Tolerance")</f>
        <v>0</v>
      </c>
      <c r="Y60" s="168">
        <f>X60/X70</f>
        <v>0</v>
      </c>
      <c r="Z60" s="413"/>
      <c r="AA60" s="168">
        <f>X60/X71</f>
        <v>0</v>
      </c>
      <c r="AB60" s="415"/>
    </row>
    <row r="61" spans="2:30" ht="18.75" customHeight="1">
      <c r="B61" s="423" t="s">
        <v>32</v>
      </c>
      <c r="C61" s="426">
        <f>COUNTIFS('1. All Data'!$AA$3:$AA$134,"Developing a Green New Deal for East Staffordshire",'1. All Data'!$H$3:$H$134,"In Danger of Falling Behind Target")</f>
        <v>1</v>
      </c>
      <c r="D61" s="416">
        <f>C61/C70</f>
        <v>9.0909090909090912E-2</v>
      </c>
      <c r="E61" s="416">
        <f>D61</f>
        <v>9.0909090909090912E-2</v>
      </c>
      <c r="F61" s="416">
        <f>C61/C71</f>
        <v>0.14285714285714285</v>
      </c>
      <c r="G61" s="419">
        <f>F61</f>
        <v>0.14285714285714285</v>
      </c>
      <c r="I61" s="423" t="s">
        <v>32</v>
      </c>
      <c r="J61" s="426">
        <f>COUNTIFS('1. All Data'!$AA$3:$AA$134,"Developing a Green New Deal for East Staffordshire",'1. All Data'!$M$3:$M$134,"In Danger of Falling Behind Target")</f>
        <v>0</v>
      </c>
      <c r="K61" s="416">
        <f>J61/J70</f>
        <v>0</v>
      </c>
      <c r="L61" s="416">
        <f>K61</f>
        <v>0</v>
      </c>
      <c r="M61" s="416">
        <f>J61/J71</f>
        <v>0</v>
      </c>
      <c r="N61" s="419">
        <f>M61</f>
        <v>0</v>
      </c>
      <c r="P61" s="423" t="s">
        <v>32</v>
      </c>
      <c r="Q61" s="426">
        <f>COUNTIFS('1. All Data'!$AA$3:$AA$134,"Developing a Green New Deal for East Staffordshire",'1. All Data'!$R$3:$R$134,"In Danger of Falling Behind Target")</f>
        <v>0</v>
      </c>
      <c r="R61" s="416">
        <f>Q61/Q70</f>
        <v>0</v>
      </c>
      <c r="S61" s="416">
        <f>R61</f>
        <v>0</v>
      </c>
      <c r="T61" s="416">
        <f>Q61/Q71</f>
        <v>0</v>
      </c>
      <c r="U61" s="419">
        <f>T61</f>
        <v>0</v>
      </c>
      <c r="W61" s="169" t="s">
        <v>24</v>
      </c>
      <c r="X61" s="170">
        <f>COUNTIFS('1. All Data'!$AA$3:$AA$134,"Developing a Green New Deal for East Staffordshire",'1. All Data'!$V$3:$V$134,"Numerical Outturn Within 10% Tolerance")</f>
        <v>0</v>
      </c>
      <c r="Y61" s="168">
        <f>X61/$X$34</f>
        <v>0</v>
      </c>
      <c r="Z61" s="413">
        <f>SUM(Y61:Y63)</f>
        <v>0</v>
      </c>
      <c r="AA61" s="168">
        <f>X61/X71</f>
        <v>0</v>
      </c>
      <c r="AB61" s="422">
        <f>SUM(AA61:AA63)</f>
        <v>0</v>
      </c>
    </row>
    <row r="62" spans="2:30" ht="18.75" customHeight="1">
      <c r="B62" s="424"/>
      <c r="C62" s="427"/>
      <c r="D62" s="417"/>
      <c r="E62" s="417"/>
      <c r="F62" s="417"/>
      <c r="G62" s="420"/>
      <c r="I62" s="424"/>
      <c r="J62" s="427"/>
      <c r="K62" s="417"/>
      <c r="L62" s="417"/>
      <c r="M62" s="417"/>
      <c r="N62" s="420"/>
      <c r="P62" s="424"/>
      <c r="Q62" s="427"/>
      <c r="R62" s="417"/>
      <c r="S62" s="417"/>
      <c r="T62" s="417"/>
      <c r="U62" s="420"/>
      <c r="W62" s="169" t="s">
        <v>25</v>
      </c>
      <c r="X62" s="170">
        <f>COUNTIFS('1. All Data'!$AA$3:$AA$134,"Developing a Green New Deal for East Staffordshire",'1. All Data'!$V$3:$V$134,"Target Partially Met")</f>
        <v>0</v>
      </c>
      <c r="Y62" s="168">
        <f>X62/$X$34</f>
        <v>0</v>
      </c>
      <c r="Z62" s="413"/>
      <c r="AA62" s="168">
        <f>X62/X71</f>
        <v>0</v>
      </c>
      <c r="AB62" s="422"/>
    </row>
    <row r="63" spans="2:30" ht="18.75" customHeight="1">
      <c r="B63" s="425"/>
      <c r="C63" s="428"/>
      <c r="D63" s="418"/>
      <c r="E63" s="418"/>
      <c r="F63" s="418"/>
      <c r="G63" s="421"/>
      <c r="I63" s="425"/>
      <c r="J63" s="428"/>
      <c r="K63" s="418"/>
      <c r="L63" s="418"/>
      <c r="M63" s="418"/>
      <c r="N63" s="421"/>
      <c r="P63" s="425"/>
      <c r="Q63" s="428"/>
      <c r="R63" s="418"/>
      <c r="S63" s="418"/>
      <c r="T63" s="418"/>
      <c r="U63" s="421"/>
      <c r="W63" s="169" t="s">
        <v>28</v>
      </c>
      <c r="X63" s="170">
        <f>COUNTIFS('1. All Data'!$AA$3:$AA$134,"Developing a Green New Deal for East Staffordshire",'1. All Data'!$V$3:$V$134,"Completion Date Within Reasonable Tolerance")</f>
        <v>0</v>
      </c>
      <c r="Y63" s="168">
        <f>X63/$X$34</f>
        <v>0</v>
      </c>
      <c r="Z63" s="413"/>
      <c r="AA63" s="168">
        <f>X63/X71</f>
        <v>0</v>
      </c>
      <c r="AB63" s="422"/>
    </row>
    <row r="64" spans="2:30" ht="30" customHeight="1">
      <c r="B64" s="171" t="s">
        <v>33</v>
      </c>
      <c r="C64" s="167">
        <f>COUNTIFS('1. All Data'!$AA$3:$AA$134,"Developing a Green New Deal for East Staffordshire",'1. All Data'!$H$3:$H$134,"Completed Behind Schedule")</f>
        <v>0</v>
      </c>
      <c r="D64" s="168">
        <f>C64/C70</f>
        <v>0</v>
      </c>
      <c r="E64" s="413">
        <f>D64+D65</f>
        <v>0</v>
      </c>
      <c r="F64" s="168">
        <f>C64/C71</f>
        <v>0</v>
      </c>
      <c r="G64" s="414">
        <f>F64+F65</f>
        <v>0</v>
      </c>
      <c r="I64" s="171" t="s">
        <v>33</v>
      </c>
      <c r="J64" s="167">
        <f>COUNTIFS('1. All Data'!$AA$3:$AA$134,"Developing a Green New Deal for East Staffordshire",'1. All Data'!$M$3:$M$134,"Completed Behind Schedule")</f>
        <v>0</v>
      </c>
      <c r="K64" s="168">
        <f>J64/J70</f>
        <v>0</v>
      </c>
      <c r="L64" s="413">
        <f>K64+K65</f>
        <v>0</v>
      </c>
      <c r="M64" s="168">
        <f>J64/J71</f>
        <v>0</v>
      </c>
      <c r="N64" s="414">
        <f>M64+M65</f>
        <v>0</v>
      </c>
      <c r="P64" s="171" t="s">
        <v>33</v>
      </c>
      <c r="Q64" s="167">
        <f>COUNTIFS('1. All Data'!$AA$3:$AA$134,"Developing a Green New Deal for East Staffordshire",'1. All Data'!$R$3:$R$134,"Completed Behind Schedule")</f>
        <v>0</v>
      </c>
      <c r="R64" s="168">
        <f>Q64/Q70</f>
        <v>0</v>
      </c>
      <c r="S64" s="413">
        <f>R64+R65</f>
        <v>0</v>
      </c>
      <c r="T64" s="168">
        <f>Q64/Q71</f>
        <v>0</v>
      </c>
      <c r="U64" s="414">
        <f>T64+T65</f>
        <v>0</v>
      </c>
      <c r="W64" s="171" t="s">
        <v>27</v>
      </c>
      <c r="X64" s="167">
        <f>COUNTIFS('1. All Data'!$AA$3:$AA$134,"Developing a Green New Deal for East Staffordshire",'1. All Data'!$V$3:$V$134,"Completed Significantly After Target Deadline")</f>
        <v>0</v>
      </c>
      <c r="Y64" s="168">
        <f>X64/$X$34</f>
        <v>0</v>
      </c>
      <c r="Z64" s="413">
        <f>SUM(Y64:Y65)</f>
        <v>0.16666666666666666</v>
      </c>
      <c r="AA64" s="168">
        <f>X64/X71</f>
        <v>0</v>
      </c>
      <c r="AB64" s="414">
        <f>AA64+AA65</f>
        <v>9.0909090909090912E-2</v>
      </c>
    </row>
    <row r="65" spans="2:30" ht="30" customHeight="1">
      <c r="B65" s="171" t="s">
        <v>26</v>
      </c>
      <c r="C65" s="167">
        <f>COUNTIFS('1. All Data'!$AA$3:$AA$134,"Developing a Green New Deal for East Staffordshire",'1. All Data'!$H$3:$H$134,"Off Target")</f>
        <v>0</v>
      </c>
      <c r="D65" s="168">
        <f>C65/C70</f>
        <v>0</v>
      </c>
      <c r="E65" s="413"/>
      <c r="F65" s="168">
        <f>C65/C71</f>
        <v>0</v>
      </c>
      <c r="G65" s="414"/>
      <c r="I65" s="171" t="s">
        <v>26</v>
      </c>
      <c r="J65" s="167">
        <f>COUNTIFS('1. All Data'!$AA$3:$AA$134,"Developing a Green New Deal for East Staffordshire",'1. All Data'!$M$3:$M$134,"Off Target")</f>
        <v>0</v>
      </c>
      <c r="K65" s="168">
        <f>J65/J70</f>
        <v>0</v>
      </c>
      <c r="L65" s="413"/>
      <c r="M65" s="168">
        <f>J65/J71</f>
        <v>0</v>
      </c>
      <c r="N65" s="414"/>
      <c r="P65" s="171" t="s">
        <v>26</v>
      </c>
      <c r="Q65" s="167">
        <f>COUNTIFS('1. All Data'!$AA$3:$AA$134,"Developing a Green New Deal for East Staffordshire",'1. All Data'!$R$3:$R$134,"Off Target")</f>
        <v>0</v>
      </c>
      <c r="R65" s="168">
        <f>Q65/Q70</f>
        <v>0</v>
      </c>
      <c r="S65" s="413"/>
      <c r="T65" s="168">
        <f>Q65/Q71</f>
        <v>0</v>
      </c>
      <c r="U65" s="414"/>
      <c r="W65" s="171" t="s">
        <v>26</v>
      </c>
      <c r="X65" s="167">
        <f>COUNTIFS('1. All Data'!$AA$3:$AA$134,"Developing a Green New Deal for East Staffordshire",'1. All Data'!$V$3:$V$134,"Off Target")</f>
        <v>1</v>
      </c>
      <c r="Y65" s="168">
        <f>X65/$X$34</f>
        <v>0.16666666666666666</v>
      </c>
      <c r="Z65" s="413"/>
      <c r="AA65" s="168">
        <f>X65/X71</f>
        <v>9.0909090909090912E-2</v>
      </c>
      <c r="AB65" s="414"/>
    </row>
    <row r="66" spans="2:30" ht="15.75" customHeight="1">
      <c r="B66" s="172" t="s">
        <v>49</v>
      </c>
      <c r="C66" s="167">
        <f>COUNTIFS('1. All Data'!$AA$3:$AA$134,"Developing a Green New Deal for East Staffordshire",'1. All Data'!$H$3:$H$134,"Not yet due")</f>
        <v>4</v>
      </c>
      <c r="D66" s="173">
        <f>C66/C70</f>
        <v>0.36363636363636365</v>
      </c>
      <c r="E66" s="173">
        <f>D66</f>
        <v>0.36363636363636365</v>
      </c>
      <c r="F66" s="174"/>
      <c r="G66" s="58"/>
      <c r="I66" s="172" t="s">
        <v>49</v>
      </c>
      <c r="J66" s="167">
        <f>COUNTIFS('1. All Data'!$AA$3:$AA$134,"Developing a Green New Deal for East Staffordshire",'1. All Data'!$M$3:$M$134,"Not yet due")</f>
        <v>1</v>
      </c>
      <c r="K66" s="173">
        <f>J66/J70</f>
        <v>9.0909090909090912E-2</v>
      </c>
      <c r="L66" s="173">
        <f>K66</f>
        <v>9.0909090909090912E-2</v>
      </c>
      <c r="M66" s="174"/>
      <c r="N66" s="58"/>
      <c r="P66" s="172" t="s">
        <v>49</v>
      </c>
      <c r="Q66" s="167">
        <f>COUNTIFS('1. All Data'!$AA$3:$AA$134,"Developing a Green New Deal for East Staffordshire",'1. All Data'!$R$3:$R$134,"Not yet due")</f>
        <v>0</v>
      </c>
      <c r="R66" s="173">
        <f>Q66/Q70</f>
        <v>0</v>
      </c>
      <c r="S66" s="173">
        <f>R66</f>
        <v>0</v>
      </c>
      <c r="T66" s="174"/>
      <c r="U66" s="58"/>
      <c r="W66" s="172" t="s">
        <v>49</v>
      </c>
      <c r="X66" s="167">
        <f>COUNTIFS('1. All Data'!$AA$3:$AA$134,"Developing a Green New Deal for East Staffordshire",'1. All Data'!$V$3:$V$134,"Not yet due")</f>
        <v>0</v>
      </c>
      <c r="Y66" s="168">
        <f t="shared" ref="Y66:Y69" si="7">X66/$X$34</f>
        <v>0</v>
      </c>
      <c r="Z66" s="168">
        <f>Y66</f>
        <v>0</v>
      </c>
      <c r="AA66" s="174"/>
      <c r="AB66" s="58"/>
    </row>
    <row r="67" spans="2:30" ht="15.75" customHeight="1">
      <c r="B67" s="172" t="s">
        <v>21</v>
      </c>
      <c r="C67" s="167">
        <f>COUNTIFS('1. All Data'!$AA$3:$AA$134,"Developing a Green New Deal for East Staffordshire",'1. All Data'!$H$3:$H$134,"update not provided")</f>
        <v>0</v>
      </c>
      <c r="D67" s="173">
        <f>C67/C70</f>
        <v>0</v>
      </c>
      <c r="E67" s="173">
        <f>D67</f>
        <v>0</v>
      </c>
      <c r="F67" s="174"/>
      <c r="G67" s="2"/>
      <c r="I67" s="172" t="s">
        <v>21</v>
      </c>
      <c r="J67" s="167">
        <f>COUNTIFS('1. All Data'!$AA$3:$AA$134,"Developing a Green New Deal for East Staffordshire",'1. All Data'!$M$3:$M$134,"update not provided")</f>
        <v>0</v>
      </c>
      <c r="K67" s="173">
        <f>J67/J70</f>
        <v>0</v>
      </c>
      <c r="L67" s="173">
        <f>K67</f>
        <v>0</v>
      </c>
      <c r="M67" s="174"/>
      <c r="N67" s="2"/>
      <c r="P67" s="172" t="s">
        <v>21</v>
      </c>
      <c r="Q67" s="167">
        <f>COUNTIFS('1. All Data'!$AA$3:$AA$134,"Developing a Green New Deal for East Staffordshire",'1. All Data'!$R$3:$R$134,"update not provided")</f>
        <v>0</v>
      </c>
      <c r="R67" s="173">
        <f>Q67/Q70</f>
        <v>0</v>
      </c>
      <c r="S67" s="173">
        <f>R67</f>
        <v>0</v>
      </c>
      <c r="T67" s="174"/>
      <c r="U67" s="2"/>
      <c r="W67" s="172" t="s">
        <v>21</v>
      </c>
      <c r="X67" s="167">
        <f>COUNTIFS('1. All Data'!$AA$3:$AA$134,"Developing a Green New Deal for East Staffordshire",'1. All Data'!$V$3:$V$134,"update not provided")</f>
        <v>0</v>
      </c>
      <c r="Y67" s="168">
        <f t="shared" si="7"/>
        <v>0</v>
      </c>
      <c r="Z67" s="168">
        <f>Y67</f>
        <v>0</v>
      </c>
      <c r="AA67" s="174"/>
      <c r="AB67" s="2"/>
    </row>
    <row r="68" spans="2:30" ht="15.75" customHeight="1">
      <c r="B68" s="175" t="s">
        <v>29</v>
      </c>
      <c r="C68" s="167">
        <f>COUNTIFS('1. All Data'!$AA$3:$AA$134,"Developing a Green New Deal for East Staffordshire",'1. All Data'!$H$3:$H$134,"Deferred")</f>
        <v>0</v>
      </c>
      <c r="D68" s="176">
        <f>C68/C70</f>
        <v>0</v>
      </c>
      <c r="E68" s="176">
        <f>D68</f>
        <v>0</v>
      </c>
      <c r="F68" s="177"/>
      <c r="G68" s="58"/>
      <c r="I68" s="175" t="s">
        <v>29</v>
      </c>
      <c r="J68" s="167">
        <f>COUNTIFS('1. All Data'!$AA$3:$AA$134,"Developing a Green New Deal for East Staffordshire",'1. All Data'!$M$3:$M$134,"Deferred")</f>
        <v>0</v>
      </c>
      <c r="K68" s="176">
        <f>J68/J70</f>
        <v>0</v>
      </c>
      <c r="L68" s="176">
        <f>K68</f>
        <v>0</v>
      </c>
      <c r="M68" s="177"/>
      <c r="N68" s="58"/>
      <c r="P68" s="175" t="s">
        <v>29</v>
      </c>
      <c r="Q68" s="167">
        <f>COUNTIFS('1. All Data'!$AA$3:$AA$134,"Developing a Green New Deal for East Staffordshire",'1. All Data'!$R$3:$R$134,"Deferred")</f>
        <v>0</v>
      </c>
      <c r="R68" s="176">
        <f>Q68/Q70</f>
        <v>0</v>
      </c>
      <c r="S68" s="176">
        <f>R68</f>
        <v>0</v>
      </c>
      <c r="T68" s="177"/>
      <c r="U68" s="58"/>
      <c r="W68" s="175" t="s">
        <v>29</v>
      </c>
      <c r="X68" s="167">
        <f>COUNTIFS('1. All Data'!$AA$3:$AA$134,"Developing a Green New Deal for East Staffordshire",'1. All Data'!$V$3:$V$134,"Deferred")</f>
        <v>0</v>
      </c>
      <c r="Y68" s="168">
        <f t="shared" si="7"/>
        <v>0</v>
      </c>
      <c r="Z68" s="168">
        <f t="shared" ref="Z68:Z69" si="8">Y68</f>
        <v>0</v>
      </c>
      <c r="AA68" s="177"/>
      <c r="AB68" s="58"/>
    </row>
    <row r="69" spans="2:30" ht="15.75" customHeight="1">
      <c r="B69" s="175" t="s">
        <v>30</v>
      </c>
      <c r="C69" s="167">
        <f>COUNTIFS('1. All Data'!$AA$3:$AA$134,"Developing a Green New Deal for East Staffordshire",'1. All Data'!$H$3:$H$134,"Deleted")</f>
        <v>0</v>
      </c>
      <c r="D69" s="176">
        <f>C69/C70</f>
        <v>0</v>
      </c>
      <c r="E69" s="176">
        <f>D69</f>
        <v>0</v>
      </c>
      <c r="F69" s="177"/>
      <c r="G69" s="3"/>
      <c r="I69" s="175" t="s">
        <v>30</v>
      </c>
      <c r="J69" s="167">
        <f>COUNTIFS('1. All Data'!$AA$3:$AA$134,"Developing a Green New Deal for East Staffordshire",'1. All Data'!$M$3:$M$134,"Deleted")</f>
        <v>0</v>
      </c>
      <c r="K69" s="176">
        <f>J69/J70</f>
        <v>0</v>
      </c>
      <c r="L69" s="176">
        <f>K69</f>
        <v>0</v>
      </c>
      <c r="M69" s="177"/>
      <c r="N69" s="3"/>
      <c r="P69" s="175" t="s">
        <v>30</v>
      </c>
      <c r="Q69" s="167">
        <f>COUNTIFS('1. All Data'!$AA$3:$AA$134,"Developing a Green New Deal for East Staffordshire",'1. All Data'!$R$3:$R$134,"Deleted")</f>
        <v>0</v>
      </c>
      <c r="R69" s="176">
        <f>Q69/Q70</f>
        <v>0</v>
      </c>
      <c r="S69" s="176">
        <f>R69</f>
        <v>0</v>
      </c>
      <c r="T69" s="177"/>
      <c r="U69" s="3"/>
      <c r="W69" s="175" t="s">
        <v>30</v>
      </c>
      <c r="X69" s="167">
        <f>COUNTIFS('1. All Data'!$AA$3:$AA$134,"Developing a Green New Deal for East Staffordshire",'1. All Data'!$V$3:$V$134,"Deleted")</f>
        <v>0</v>
      </c>
      <c r="Y69" s="168">
        <f t="shared" si="7"/>
        <v>0</v>
      </c>
      <c r="Z69" s="168">
        <f t="shared" si="8"/>
        <v>0</v>
      </c>
      <c r="AA69" s="177"/>
      <c r="AD69" s="3"/>
    </row>
    <row r="70" spans="2:30" ht="15.75" customHeight="1">
      <c r="B70" s="193" t="s">
        <v>51</v>
      </c>
      <c r="C70" s="179">
        <f>SUM(C59:C69)</f>
        <v>11</v>
      </c>
      <c r="D70" s="177"/>
      <c r="E70" s="177"/>
      <c r="F70" s="58"/>
      <c r="G70" s="58"/>
      <c r="I70" s="193" t="s">
        <v>51</v>
      </c>
      <c r="J70" s="179">
        <f>SUM(J59:J69)</f>
        <v>11</v>
      </c>
      <c r="K70" s="177"/>
      <c r="L70" s="177"/>
      <c r="M70" s="58"/>
      <c r="N70" s="58"/>
      <c r="P70" s="193" t="s">
        <v>51</v>
      </c>
      <c r="Q70" s="179">
        <f>SUM(Q59:Q69)</f>
        <v>11</v>
      </c>
      <c r="R70" s="177"/>
      <c r="S70" s="177"/>
      <c r="T70" s="58"/>
      <c r="U70" s="58"/>
      <c r="W70" s="178" t="s">
        <v>51</v>
      </c>
      <c r="X70" s="179">
        <f>SUM(X59:X69)</f>
        <v>11</v>
      </c>
      <c r="Y70" s="177"/>
      <c r="Z70" s="177"/>
      <c r="AA70" s="58"/>
      <c r="AB70" s="58"/>
    </row>
    <row r="71" spans="2:30" ht="15.75" customHeight="1">
      <c r="B71" s="193" t="s">
        <v>52</v>
      </c>
      <c r="C71" s="179">
        <f>C70-C69-C68-C67-C66</f>
        <v>7</v>
      </c>
      <c r="D71" s="58"/>
      <c r="E71" s="58"/>
      <c r="F71" s="58"/>
      <c r="G71" s="58"/>
      <c r="I71" s="193" t="s">
        <v>52</v>
      </c>
      <c r="J71" s="179">
        <f>J70-J69-J68-J67-J66</f>
        <v>10</v>
      </c>
      <c r="K71" s="58"/>
      <c r="L71" s="58"/>
      <c r="M71" s="58"/>
      <c r="N71" s="58"/>
      <c r="P71" s="193" t="s">
        <v>52</v>
      </c>
      <c r="Q71" s="179">
        <f>Q70-Q69-Q68-Q67-Q66</f>
        <v>11</v>
      </c>
      <c r="R71" s="58"/>
      <c r="S71" s="58"/>
      <c r="T71" s="58"/>
      <c r="U71" s="58"/>
      <c r="W71" s="178" t="s">
        <v>52</v>
      </c>
      <c r="X71" s="179">
        <f>X70-X69-X68-X67-X66</f>
        <v>11</v>
      </c>
      <c r="Y71" s="58"/>
      <c r="Z71" s="58"/>
      <c r="AA71" s="58"/>
      <c r="AB71" s="58"/>
    </row>
    <row r="72" spans="2:30" ht="15.6" hidden="1" customHeight="1">
      <c r="AB72" s="186"/>
    </row>
    <row r="73" spans="2:30" ht="15.75" hidden="1" customHeight="1">
      <c r="AB73" s="186"/>
    </row>
    <row r="75" spans="2:30" ht="15.75">
      <c r="B75" s="188" t="s">
        <v>406</v>
      </c>
      <c r="C75" s="189"/>
      <c r="D75" s="189"/>
      <c r="E75" s="189"/>
      <c r="F75" s="190"/>
      <c r="G75" s="191"/>
      <c r="I75" s="188" t="s">
        <v>406</v>
      </c>
      <c r="J75" s="189"/>
      <c r="K75" s="189"/>
      <c r="L75" s="189"/>
      <c r="M75" s="190"/>
      <c r="N75" s="191"/>
      <c r="P75" s="188" t="s">
        <v>406</v>
      </c>
      <c r="Q75" s="189"/>
      <c r="R75" s="189"/>
      <c r="S75" s="189"/>
      <c r="T75" s="190"/>
      <c r="U75" s="191"/>
      <c r="W75" s="188" t="s">
        <v>406</v>
      </c>
      <c r="X75" s="195"/>
      <c r="Y75" s="162"/>
      <c r="Z75" s="162"/>
      <c r="AA75" s="162"/>
      <c r="AB75" s="163"/>
    </row>
    <row r="76" spans="2:30" ht="31.5">
      <c r="B76" s="164" t="s">
        <v>42</v>
      </c>
      <c r="C76" s="164" t="s">
        <v>43</v>
      </c>
      <c r="D76" s="164" t="s">
        <v>44</v>
      </c>
      <c r="E76" s="164" t="s">
        <v>45</v>
      </c>
      <c r="F76" s="164" t="s">
        <v>46</v>
      </c>
      <c r="G76" s="164" t="s">
        <v>47</v>
      </c>
      <c r="I76" s="164" t="s">
        <v>42</v>
      </c>
      <c r="J76" s="164" t="s">
        <v>43</v>
      </c>
      <c r="K76" s="164" t="s">
        <v>44</v>
      </c>
      <c r="L76" s="164" t="s">
        <v>45</v>
      </c>
      <c r="M76" s="164" t="s">
        <v>46</v>
      </c>
      <c r="N76" s="164" t="s">
        <v>47</v>
      </c>
      <c r="P76" s="164" t="s">
        <v>42</v>
      </c>
      <c r="Q76" s="164" t="s">
        <v>43</v>
      </c>
      <c r="R76" s="164" t="s">
        <v>44</v>
      </c>
      <c r="S76" s="164" t="s">
        <v>45</v>
      </c>
      <c r="T76" s="164" t="s">
        <v>46</v>
      </c>
      <c r="U76" s="164" t="s">
        <v>47</v>
      </c>
      <c r="W76" s="164" t="s">
        <v>42</v>
      </c>
      <c r="X76" s="164" t="s">
        <v>43</v>
      </c>
      <c r="Y76" s="164" t="s">
        <v>44</v>
      </c>
      <c r="Z76" s="164" t="s">
        <v>45</v>
      </c>
      <c r="AA76" s="164" t="s">
        <v>46</v>
      </c>
      <c r="AB76" s="164" t="s">
        <v>47</v>
      </c>
    </row>
    <row r="77" spans="2:30" ht="15.75">
      <c r="B77" s="227" t="s">
        <v>48</v>
      </c>
      <c r="C77" s="167">
        <f>COUNTIFS('1. All Data'!$AA$3:$AA$134,"Protecting our heritage",'1. All Data'!$H$3:$H$134,"Fully Achieved")</f>
        <v>1</v>
      </c>
      <c r="D77" s="250">
        <f>C77/C88</f>
        <v>0.2</v>
      </c>
      <c r="E77" s="413">
        <f>D77+D78</f>
        <v>0.60000000000000009</v>
      </c>
      <c r="F77" s="250">
        <f>C77/C89</f>
        <v>0.33333333333333331</v>
      </c>
      <c r="G77" s="415">
        <f>F77+F78</f>
        <v>1</v>
      </c>
      <c r="I77" s="227" t="s">
        <v>48</v>
      </c>
      <c r="J77" s="167">
        <f>COUNTIFS('1. All Data'!$AA$3:$AA$134,"Protecting our heritage",'1. All Data'!$M$3:$M$134,"Fully Achieved")</f>
        <v>4</v>
      </c>
      <c r="K77" s="250">
        <f>J77/J88</f>
        <v>0.8</v>
      </c>
      <c r="L77" s="413">
        <f>K77+K78</f>
        <v>0.8</v>
      </c>
      <c r="M77" s="250">
        <f>J77/J89</f>
        <v>1</v>
      </c>
      <c r="N77" s="415">
        <f>M77+M78</f>
        <v>1</v>
      </c>
      <c r="P77" s="227" t="s">
        <v>48</v>
      </c>
      <c r="Q77" s="167">
        <f>COUNTIFS('1. All Data'!$AA$3:$AA$134,"Protecting our heritage",'1. All Data'!$R$3:$R$134,"Fully Achieved")</f>
        <v>4</v>
      </c>
      <c r="R77" s="250">
        <f>Q77/Q88</f>
        <v>0.8</v>
      </c>
      <c r="S77" s="413">
        <f>R77+R78</f>
        <v>0.8</v>
      </c>
      <c r="T77" s="250">
        <f>Q77/Q89</f>
        <v>1</v>
      </c>
      <c r="U77" s="415">
        <f>T77+T78</f>
        <v>1</v>
      </c>
      <c r="W77" s="227" t="s">
        <v>48</v>
      </c>
      <c r="X77" s="167">
        <f>COUNTIFS('1. All Data'!$AA$3:$AA$134,"Protecting our heritage",'1. All Data'!$V$3:$V$134,"Fully Achieved")</f>
        <v>4</v>
      </c>
      <c r="Y77" s="250">
        <f>X77/X88</f>
        <v>0.8</v>
      </c>
      <c r="Z77" s="413">
        <f>Y77+Y78</f>
        <v>0.8</v>
      </c>
      <c r="AA77" s="250">
        <f>X77/X89</f>
        <v>1</v>
      </c>
      <c r="AB77" s="415">
        <f>AA77+AA78</f>
        <v>1</v>
      </c>
    </row>
    <row r="78" spans="2:30" ht="15.75">
      <c r="B78" s="227" t="s">
        <v>31</v>
      </c>
      <c r="C78" s="167">
        <f>COUNTIFS('1. All Data'!$AA$3:$AA$134,"Protecting our heritage",'1. All Data'!$H$3:$H$134,"On Track to be achieved")</f>
        <v>2</v>
      </c>
      <c r="D78" s="250">
        <f>C78/C88</f>
        <v>0.4</v>
      </c>
      <c r="E78" s="413"/>
      <c r="F78" s="250">
        <f>C78/C89</f>
        <v>0.66666666666666663</v>
      </c>
      <c r="G78" s="415"/>
      <c r="I78" s="227" t="s">
        <v>31</v>
      </c>
      <c r="J78" s="167">
        <f>COUNTIFS('1. All Data'!$AA$3:$AA$134,"Protecting our heritage",'1. All Data'!$M$3:$M$134,"On Track to be achieved")</f>
        <v>0</v>
      </c>
      <c r="K78" s="250">
        <f>J78/J88</f>
        <v>0</v>
      </c>
      <c r="L78" s="413"/>
      <c r="M78" s="250">
        <f>J78/J89</f>
        <v>0</v>
      </c>
      <c r="N78" s="415"/>
      <c r="P78" s="227" t="s">
        <v>31</v>
      </c>
      <c r="Q78" s="167">
        <f>COUNTIFS('1. All Data'!$AA$3:$AA$134,"Protecting our heritage",'1. All Data'!$R$3:$R$134,"On Track to be achieved")</f>
        <v>0</v>
      </c>
      <c r="R78" s="250">
        <f>Q78/Q88</f>
        <v>0</v>
      </c>
      <c r="S78" s="413"/>
      <c r="T78" s="250">
        <f>Q78/Q89</f>
        <v>0</v>
      </c>
      <c r="U78" s="415"/>
      <c r="W78" s="227" t="s">
        <v>23</v>
      </c>
      <c r="X78" s="167">
        <f>COUNTIFS('1. All Data'!$AA$3:$AA$134,"Protecting our heritage",'1. All Data'!$V$3:$V$134,"Numerical Outturn Within 5% Tolerance")</f>
        <v>0</v>
      </c>
      <c r="Y78" s="250">
        <f>X78/X88</f>
        <v>0</v>
      </c>
      <c r="Z78" s="413"/>
      <c r="AA78" s="250">
        <f>X78/X89</f>
        <v>0</v>
      </c>
      <c r="AB78" s="415"/>
    </row>
    <row r="79" spans="2:30" ht="15.75">
      <c r="B79" s="423" t="s">
        <v>32</v>
      </c>
      <c r="C79" s="426">
        <f>COUNTIFS('1. All Data'!$AA$3:$AA$134,"Protecting our heritage",'1. All Data'!$H$3:$H$134,"In Danger of Falling Behind Target")</f>
        <v>0</v>
      </c>
      <c r="D79" s="416">
        <f>C79/C88</f>
        <v>0</v>
      </c>
      <c r="E79" s="416">
        <f>D79</f>
        <v>0</v>
      </c>
      <c r="F79" s="416">
        <f>C79/C89</f>
        <v>0</v>
      </c>
      <c r="G79" s="419">
        <f>F79</f>
        <v>0</v>
      </c>
      <c r="I79" s="423" t="s">
        <v>32</v>
      </c>
      <c r="J79" s="426">
        <f>COUNTIFS('1. All Data'!$AA$3:$AA$134,"Protecting our heritage",'1. All Data'!$M$3:$M$134,"In Danger of Falling Behind Target")</f>
        <v>0</v>
      </c>
      <c r="K79" s="416">
        <f>J79/J88</f>
        <v>0</v>
      </c>
      <c r="L79" s="416">
        <f>K79</f>
        <v>0</v>
      </c>
      <c r="M79" s="416">
        <f>J79/J89</f>
        <v>0</v>
      </c>
      <c r="N79" s="419">
        <f>M79</f>
        <v>0</v>
      </c>
      <c r="P79" s="423" t="s">
        <v>32</v>
      </c>
      <c r="Q79" s="426">
        <f>COUNTIFS('1. All Data'!$AA$3:$AA$134,"Protecting our heritage",'1. All Data'!$R$3:$R$134,"In Danger of Falling Behind Target")</f>
        <v>0</v>
      </c>
      <c r="R79" s="416">
        <f>Q79/Q88</f>
        <v>0</v>
      </c>
      <c r="S79" s="416">
        <f>R79</f>
        <v>0</v>
      </c>
      <c r="T79" s="416">
        <f>Q79/Q89</f>
        <v>0</v>
      </c>
      <c r="U79" s="419">
        <f>T79</f>
        <v>0</v>
      </c>
      <c r="W79" s="169" t="s">
        <v>24</v>
      </c>
      <c r="X79" s="170">
        <f>COUNTIFS('1. All Data'!$AA$3:$AA$134,"Protecting our heritage",'1. All Data'!$V$3:$V$134,"Numerical Outturn Within 10% Tolerance")</f>
        <v>0</v>
      </c>
      <c r="Y79" s="250">
        <f>X79/$X$34</f>
        <v>0</v>
      </c>
      <c r="Z79" s="413">
        <f>SUM(Y79:Y81)</f>
        <v>0</v>
      </c>
      <c r="AA79" s="250">
        <f>X79/X89</f>
        <v>0</v>
      </c>
      <c r="AB79" s="422">
        <f>SUM(AA79:AA81)</f>
        <v>0</v>
      </c>
    </row>
    <row r="80" spans="2:30" ht="15.75">
      <c r="B80" s="424"/>
      <c r="C80" s="427"/>
      <c r="D80" s="417"/>
      <c r="E80" s="417"/>
      <c r="F80" s="417"/>
      <c r="G80" s="420"/>
      <c r="I80" s="424"/>
      <c r="J80" s="427"/>
      <c r="K80" s="417"/>
      <c r="L80" s="417"/>
      <c r="M80" s="417"/>
      <c r="N80" s="420"/>
      <c r="P80" s="424"/>
      <c r="Q80" s="427"/>
      <c r="R80" s="417"/>
      <c r="S80" s="417"/>
      <c r="T80" s="417"/>
      <c r="U80" s="420"/>
      <c r="W80" s="169" t="s">
        <v>25</v>
      </c>
      <c r="X80" s="170">
        <f>COUNTIFS('1. All Data'!$AA$3:$AA$134,"Protecting our heritage",'1. All Data'!$V$3:$V$134,"Target Partially Met")</f>
        <v>0</v>
      </c>
      <c r="Y80" s="250">
        <f>X80/$X$34</f>
        <v>0</v>
      </c>
      <c r="Z80" s="413"/>
      <c r="AA80" s="250">
        <f>X80/X89</f>
        <v>0</v>
      </c>
      <c r="AB80" s="422"/>
    </row>
    <row r="81" spans="2:28" ht="15.75">
      <c r="B81" s="425"/>
      <c r="C81" s="428"/>
      <c r="D81" s="418"/>
      <c r="E81" s="418"/>
      <c r="F81" s="418"/>
      <c r="G81" s="421"/>
      <c r="I81" s="425"/>
      <c r="J81" s="428"/>
      <c r="K81" s="418"/>
      <c r="L81" s="418"/>
      <c r="M81" s="418"/>
      <c r="N81" s="421"/>
      <c r="P81" s="425"/>
      <c r="Q81" s="428"/>
      <c r="R81" s="418"/>
      <c r="S81" s="418"/>
      <c r="T81" s="418"/>
      <c r="U81" s="421"/>
      <c r="W81" s="169" t="s">
        <v>28</v>
      </c>
      <c r="X81" s="170">
        <f>COUNTIFS('1. All Data'!$AA$3:$AA$134,"Protecting our heritage",'1. All Data'!$V$3:$V$134,"Completion Date Within Reasonable Tolerance")</f>
        <v>0</v>
      </c>
      <c r="Y81" s="250">
        <f>X81/$X$34</f>
        <v>0</v>
      </c>
      <c r="Z81" s="413"/>
      <c r="AA81" s="250">
        <f>X81/X89</f>
        <v>0</v>
      </c>
      <c r="AB81" s="422"/>
    </row>
    <row r="82" spans="2:28" ht="15.75">
      <c r="B82" s="171" t="s">
        <v>33</v>
      </c>
      <c r="C82" s="167">
        <f>COUNTIFS('1. All Data'!$AA$3:$AA$134,"Protecting our heritage",'1. All Data'!$H$3:$H$134,"Completed Behind Schedule")</f>
        <v>0</v>
      </c>
      <c r="D82" s="250">
        <f>C82/C88</f>
        <v>0</v>
      </c>
      <c r="E82" s="413">
        <f>D82+D83</f>
        <v>0</v>
      </c>
      <c r="F82" s="250">
        <f>C82/C89</f>
        <v>0</v>
      </c>
      <c r="G82" s="414">
        <f>F82+F83</f>
        <v>0</v>
      </c>
      <c r="I82" s="171" t="s">
        <v>33</v>
      </c>
      <c r="J82" s="167">
        <f>COUNTIFS('1. All Data'!$AA$3:$AA$134,"Protecting our heritage",'1. All Data'!$M$3:$M$134,"Completed Behind Schedule")</f>
        <v>0</v>
      </c>
      <c r="K82" s="250">
        <f>J82/J88</f>
        <v>0</v>
      </c>
      <c r="L82" s="413">
        <f>K82+K83</f>
        <v>0</v>
      </c>
      <c r="M82" s="250">
        <f>J82/J89</f>
        <v>0</v>
      </c>
      <c r="N82" s="414">
        <f>M82+M83</f>
        <v>0</v>
      </c>
      <c r="P82" s="171" t="s">
        <v>33</v>
      </c>
      <c r="Q82" s="167">
        <f>COUNTIFS('1. All Data'!$AA$3:$AA$134,"Protecting our heritage",'1. All Data'!$R$3:$R$134,"Completed Behind Schedule")</f>
        <v>0</v>
      </c>
      <c r="R82" s="250">
        <f>Q82/Q88</f>
        <v>0</v>
      </c>
      <c r="S82" s="413">
        <f>R82+R83</f>
        <v>0</v>
      </c>
      <c r="T82" s="250">
        <f>Q82/Q89</f>
        <v>0</v>
      </c>
      <c r="U82" s="414">
        <f>T82+T83</f>
        <v>0</v>
      </c>
      <c r="W82" s="171" t="s">
        <v>27</v>
      </c>
      <c r="X82" s="167">
        <f>COUNTIFS('1. All Data'!$AA$3:$AA$134,"Protecting our heritage",'1. All Data'!$V$3:$V$134,"Completed Significantly After Target Deadline")</f>
        <v>0</v>
      </c>
      <c r="Y82" s="250">
        <f>X82/$X$34</f>
        <v>0</v>
      </c>
      <c r="Z82" s="413">
        <f>SUM(Y82:Y83)</f>
        <v>0</v>
      </c>
      <c r="AA82" s="250">
        <f>X82/X89</f>
        <v>0</v>
      </c>
      <c r="AB82" s="414">
        <f>AA82+AA83</f>
        <v>0</v>
      </c>
    </row>
    <row r="83" spans="2:28" ht="15.75">
      <c r="B83" s="171" t="s">
        <v>26</v>
      </c>
      <c r="C83" s="167">
        <f>COUNTIFS('1. All Data'!$AA$3:$AA$134,"Protecting our heritage",'1. All Data'!$H$3:$H$134,"Off Target")</f>
        <v>0</v>
      </c>
      <c r="D83" s="250">
        <f>C83/C88</f>
        <v>0</v>
      </c>
      <c r="E83" s="413"/>
      <c r="F83" s="250">
        <f>C83/C89</f>
        <v>0</v>
      </c>
      <c r="G83" s="414"/>
      <c r="I83" s="171" t="s">
        <v>26</v>
      </c>
      <c r="J83" s="167">
        <f>COUNTIFS('1. All Data'!$AA$3:$AA$134,"Protecting our heritage",'1. All Data'!$M$3:$M$134,"Off Target")</f>
        <v>0</v>
      </c>
      <c r="K83" s="250">
        <f>J83/J88</f>
        <v>0</v>
      </c>
      <c r="L83" s="413"/>
      <c r="M83" s="250">
        <f>J83/J89</f>
        <v>0</v>
      </c>
      <c r="N83" s="414"/>
      <c r="P83" s="171" t="s">
        <v>26</v>
      </c>
      <c r="Q83" s="167">
        <f>COUNTIFS('1. All Data'!$AA$3:$AA$134,"Protecting our heritage",'1. All Data'!$R$3:$R$134,"Off Target")</f>
        <v>0</v>
      </c>
      <c r="R83" s="250">
        <f>Q83/Q88</f>
        <v>0</v>
      </c>
      <c r="S83" s="413"/>
      <c r="T83" s="250">
        <f>Q83/Q89</f>
        <v>0</v>
      </c>
      <c r="U83" s="414"/>
      <c r="W83" s="171" t="s">
        <v>26</v>
      </c>
      <c r="X83" s="167">
        <f>COUNTIFS('1. All Data'!$AA$3:$AA$134,"Protecting our heritage",'1. All Data'!$V$3:$V$134,"Off Target")</f>
        <v>0</v>
      </c>
      <c r="Y83" s="250">
        <f>X83/$X$34</f>
        <v>0</v>
      </c>
      <c r="Z83" s="413"/>
      <c r="AA83" s="250">
        <f>X83/X89</f>
        <v>0</v>
      </c>
      <c r="AB83" s="414"/>
    </row>
    <row r="84" spans="2:28" ht="15.75">
      <c r="B84" s="172" t="s">
        <v>49</v>
      </c>
      <c r="C84" s="167">
        <f>COUNTIFS('1. All Data'!$AA$3:$AA$134,"Protecting our heritage",'1. All Data'!$H$3:$H$134,"Not yet due")</f>
        <v>2</v>
      </c>
      <c r="D84" s="173">
        <f>C84/C88</f>
        <v>0.4</v>
      </c>
      <c r="E84" s="173">
        <f>D84</f>
        <v>0.4</v>
      </c>
      <c r="F84" s="174"/>
      <c r="G84" s="58"/>
      <c r="I84" s="172" t="s">
        <v>49</v>
      </c>
      <c r="J84" s="167">
        <f>COUNTIFS('1. All Data'!$AA$3:$AA$134,"Protecting our heritage",'1. All Data'!$M$3:$M$134,"Not yet due")</f>
        <v>0</v>
      </c>
      <c r="K84" s="173">
        <f>J84/J88</f>
        <v>0</v>
      </c>
      <c r="L84" s="173">
        <f>K84</f>
        <v>0</v>
      </c>
      <c r="M84" s="174"/>
      <c r="N84" s="58"/>
      <c r="P84" s="172" t="s">
        <v>49</v>
      </c>
      <c r="Q84" s="167">
        <f>COUNTIFS('1. All Data'!$AA$3:$AA$134,"Protecting our heritage",'1. All Data'!$R$3:$R$134,"Not yet due")</f>
        <v>0</v>
      </c>
      <c r="R84" s="173">
        <f>Q84/Q88</f>
        <v>0</v>
      </c>
      <c r="S84" s="173">
        <f>R84</f>
        <v>0</v>
      </c>
      <c r="T84" s="174"/>
      <c r="U84" s="58"/>
      <c r="W84" s="172" t="s">
        <v>49</v>
      </c>
      <c r="X84" s="167">
        <f>COUNTIFS('1. All Data'!$AA$3:$AA$134,"Protecting our heritage",'1. All Data'!$V$3:$V$134,"Not yet due")</f>
        <v>0</v>
      </c>
      <c r="Y84" s="250">
        <f t="shared" ref="Y84:Y87" si="9">X84/$X$34</f>
        <v>0</v>
      </c>
      <c r="Z84" s="250">
        <f>Y84</f>
        <v>0</v>
      </c>
      <c r="AA84" s="174"/>
      <c r="AB84" s="58"/>
    </row>
    <row r="85" spans="2:28" ht="15.75">
      <c r="B85" s="172" t="s">
        <v>21</v>
      </c>
      <c r="C85" s="167">
        <f>COUNTIFS('1. All Data'!$AA$3:$AA$134,"Protecting our heritage",'1. All Data'!$H$3:$H$134,"update not provided")</f>
        <v>0</v>
      </c>
      <c r="D85" s="173">
        <f>C85/C88</f>
        <v>0</v>
      </c>
      <c r="E85" s="173">
        <f>D85</f>
        <v>0</v>
      </c>
      <c r="F85" s="174"/>
      <c r="G85" s="2"/>
      <c r="I85" s="172" t="s">
        <v>21</v>
      </c>
      <c r="J85" s="167">
        <f>COUNTIFS('1. All Data'!$AA$3:$AA$134,"Protecting our heritage",'1. All Data'!$M$3:$M$134,"update not provided")</f>
        <v>0</v>
      </c>
      <c r="K85" s="173">
        <f>J85/J88</f>
        <v>0</v>
      </c>
      <c r="L85" s="173">
        <f>K85</f>
        <v>0</v>
      </c>
      <c r="M85" s="174"/>
      <c r="N85" s="2"/>
      <c r="P85" s="172" t="s">
        <v>21</v>
      </c>
      <c r="Q85" s="167">
        <f>COUNTIFS('1. All Data'!$AA$3:$AA$134,"Protecting our heritage",'1. All Data'!$R$3:$R$134,"update not provided")</f>
        <v>0</v>
      </c>
      <c r="R85" s="173">
        <f>Q85/Q88</f>
        <v>0</v>
      </c>
      <c r="S85" s="173">
        <f>R85</f>
        <v>0</v>
      </c>
      <c r="T85" s="174"/>
      <c r="U85" s="2"/>
      <c r="W85" s="172" t="s">
        <v>21</v>
      </c>
      <c r="X85" s="167">
        <f>COUNTIFS('1. All Data'!$AA$3:$AA$134,"Protecting our heritage",'1. All Data'!$V$3:$V$134,"update not provided")</f>
        <v>0</v>
      </c>
      <c r="Y85" s="250">
        <f t="shared" si="9"/>
        <v>0</v>
      </c>
      <c r="Z85" s="250">
        <f>Y85</f>
        <v>0</v>
      </c>
      <c r="AA85" s="174"/>
      <c r="AB85" s="2"/>
    </row>
    <row r="86" spans="2:28" ht="15.75">
      <c r="B86" s="175" t="s">
        <v>29</v>
      </c>
      <c r="C86" s="167">
        <f>COUNTIFS('1. All Data'!$AA$3:$AA$134,"Protecting our heritage",'1. All Data'!$H$3:$H$134,"Deferred")</f>
        <v>0</v>
      </c>
      <c r="D86" s="176">
        <f>C86/C88</f>
        <v>0</v>
      </c>
      <c r="E86" s="176">
        <f>D86</f>
        <v>0</v>
      </c>
      <c r="F86" s="177"/>
      <c r="G86" s="58"/>
      <c r="I86" s="175" t="s">
        <v>29</v>
      </c>
      <c r="J86" s="167">
        <f>COUNTIFS('1. All Data'!$AA$3:$AA$134,"Protecting our heritage",'1. All Data'!$M$3:$M$134,"Deferred")</f>
        <v>0</v>
      </c>
      <c r="K86" s="176">
        <f>J86/J88</f>
        <v>0</v>
      </c>
      <c r="L86" s="176">
        <f>K86</f>
        <v>0</v>
      </c>
      <c r="M86" s="177"/>
      <c r="N86" s="58"/>
      <c r="P86" s="175" t="s">
        <v>29</v>
      </c>
      <c r="Q86" s="167">
        <f>COUNTIFS('1. All Data'!$AA$3:$AA$134,"Protecting our heritage",'1. All Data'!$R$3:$R$134,"Deferred")</f>
        <v>0</v>
      </c>
      <c r="R86" s="176">
        <f>Q86/Q88</f>
        <v>0</v>
      </c>
      <c r="S86" s="176">
        <f>R86</f>
        <v>0</v>
      </c>
      <c r="T86" s="177"/>
      <c r="U86" s="58"/>
      <c r="W86" s="175" t="s">
        <v>29</v>
      </c>
      <c r="X86" s="167">
        <f>COUNTIFS('1. All Data'!$AA$3:$AA$134,"Protecting our heritage",'1. All Data'!$V$3:$V$134,"Deferred")</f>
        <v>0</v>
      </c>
      <c r="Y86" s="250">
        <f t="shared" si="9"/>
        <v>0</v>
      </c>
      <c r="Z86" s="250">
        <f t="shared" ref="Z86:Z87" si="10">Y86</f>
        <v>0</v>
      </c>
      <c r="AA86" s="177"/>
      <c r="AB86" s="58"/>
    </row>
    <row r="87" spans="2:28" ht="15.75">
      <c r="B87" s="175" t="s">
        <v>30</v>
      </c>
      <c r="C87" s="167">
        <f>COUNTIFS('1. All Data'!$AA$3:$AA$134,"Protecting our heritage",'1. All Data'!$H$3:$H$134,"Deleted")</f>
        <v>0</v>
      </c>
      <c r="D87" s="176">
        <f>C87/C88</f>
        <v>0</v>
      </c>
      <c r="E87" s="176">
        <f>D87</f>
        <v>0</v>
      </c>
      <c r="F87" s="177"/>
      <c r="G87" s="3"/>
      <c r="I87" s="175" t="s">
        <v>30</v>
      </c>
      <c r="J87" s="167">
        <f>COUNTIFS('1. All Data'!$AA$3:$AA$134,"Protecting our heritage",'1. All Data'!$M$3:$M$134,"Deleted")</f>
        <v>1</v>
      </c>
      <c r="K87" s="176">
        <f>J87/J88</f>
        <v>0.2</v>
      </c>
      <c r="L87" s="176">
        <f>K87</f>
        <v>0.2</v>
      </c>
      <c r="M87" s="177"/>
      <c r="N87" s="3"/>
      <c r="P87" s="175" t="s">
        <v>30</v>
      </c>
      <c r="Q87" s="167">
        <f>COUNTIFS('1. All Data'!$AA$3:$AA$134,"Protecting our heritage",'1. All Data'!$R$3:$R$134,"Deleted")</f>
        <v>1</v>
      </c>
      <c r="R87" s="176">
        <f>Q87/Q88</f>
        <v>0.2</v>
      </c>
      <c r="S87" s="176">
        <f>R87</f>
        <v>0.2</v>
      </c>
      <c r="T87" s="177"/>
      <c r="U87" s="3"/>
      <c r="W87" s="175" t="s">
        <v>30</v>
      </c>
      <c r="X87" s="167">
        <f>COUNTIFS('1. All Data'!$AA$3:$AA$134,"Protecting our heritage",'1. All Data'!$V$3:$V$134,"Deleted")</f>
        <v>1</v>
      </c>
      <c r="Y87" s="250">
        <f t="shared" si="9"/>
        <v>0.16666666666666666</v>
      </c>
      <c r="Z87" s="250">
        <f t="shared" si="10"/>
        <v>0.16666666666666666</v>
      </c>
      <c r="AA87" s="177"/>
    </row>
    <row r="88" spans="2:28" ht="15.75">
      <c r="B88" s="193" t="s">
        <v>51</v>
      </c>
      <c r="C88" s="179">
        <f>SUM(C77:C87)</f>
        <v>5</v>
      </c>
      <c r="D88" s="177"/>
      <c r="E88" s="177"/>
      <c r="F88" s="58"/>
      <c r="G88" s="58"/>
      <c r="I88" s="193" t="s">
        <v>51</v>
      </c>
      <c r="J88" s="179">
        <f>SUM(J77:J87)</f>
        <v>5</v>
      </c>
      <c r="K88" s="177"/>
      <c r="L88" s="177"/>
      <c r="M88" s="58"/>
      <c r="N88" s="58"/>
      <c r="P88" s="193" t="s">
        <v>51</v>
      </c>
      <c r="Q88" s="179">
        <f>SUM(Q77:Q87)</f>
        <v>5</v>
      </c>
      <c r="R88" s="177"/>
      <c r="S88" s="177"/>
      <c r="T88" s="58"/>
      <c r="U88" s="58"/>
      <c r="W88" s="178" t="s">
        <v>51</v>
      </c>
      <c r="X88" s="179">
        <f>SUM(X77:X87)</f>
        <v>5</v>
      </c>
      <c r="Y88" s="177"/>
      <c r="Z88" s="177"/>
      <c r="AA88" s="58"/>
      <c r="AB88" s="58"/>
    </row>
    <row r="89" spans="2:28" ht="15.75">
      <c r="B89" s="193" t="s">
        <v>52</v>
      </c>
      <c r="C89" s="179">
        <f>C88-C87-C86-C85-C84</f>
        <v>3</v>
      </c>
      <c r="D89" s="58"/>
      <c r="E89" s="58"/>
      <c r="F89" s="58"/>
      <c r="G89" s="58"/>
      <c r="I89" s="193" t="s">
        <v>52</v>
      </c>
      <c r="J89" s="179">
        <f>J88-J87-J86-J85-J84</f>
        <v>4</v>
      </c>
      <c r="K89" s="58"/>
      <c r="L89" s="58"/>
      <c r="M89" s="58"/>
      <c r="N89" s="58"/>
      <c r="P89" s="193" t="s">
        <v>52</v>
      </c>
      <c r="Q89" s="179">
        <f>Q88-Q87-Q86-Q85-Q84</f>
        <v>4</v>
      </c>
      <c r="R89" s="58"/>
      <c r="S89" s="58"/>
      <c r="T89" s="58"/>
      <c r="U89" s="58"/>
      <c r="W89" s="178" t="s">
        <v>52</v>
      </c>
      <c r="X89" s="179">
        <f>X88-X87-X86-X85-X84</f>
        <v>4</v>
      </c>
      <c r="Y89" s="58"/>
      <c r="Z89" s="58"/>
      <c r="AA89" s="58"/>
      <c r="AB89" s="58"/>
    </row>
    <row r="91" spans="2:28" hidden="1"/>
    <row r="92" spans="2:28" hidden="1"/>
    <row r="93" spans="2:28" ht="15.75">
      <c r="B93" s="188" t="s">
        <v>407</v>
      </c>
      <c r="C93" s="189"/>
      <c r="D93" s="189"/>
      <c r="E93" s="189"/>
      <c r="F93" s="190"/>
      <c r="G93" s="191"/>
      <c r="I93" s="188" t="s">
        <v>407</v>
      </c>
      <c r="J93" s="189"/>
      <c r="K93" s="189"/>
      <c r="L93" s="189"/>
      <c r="M93" s="190"/>
      <c r="N93" s="191"/>
      <c r="P93" s="188" t="s">
        <v>407</v>
      </c>
      <c r="Q93" s="189"/>
      <c r="R93" s="189"/>
      <c r="S93" s="189"/>
      <c r="T93" s="190"/>
      <c r="U93" s="191"/>
      <c r="W93" s="188" t="s">
        <v>407</v>
      </c>
      <c r="X93" s="195"/>
      <c r="Y93" s="162"/>
      <c r="Z93" s="162"/>
      <c r="AA93" s="162"/>
      <c r="AB93" s="163"/>
    </row>
    <row r="94" spans="2:28" ht="31.5">
      <c r="B94" s="164" t="s">
        <v>42</v>
      </c>
      <c r="C94" s="164" t="s">
        <v>43</v>
      </c>
      <c r="D94" s="164" t="s">
        <v>44</v>
      </c>
      <c r="E94" s="164" t="s">
        <v>45</v>
      </c>
      <c r="F94" s="164" t="s">
        <v>46</v>
      </c>
      <c r="G94" s="164" t="s">
        <v>47</v>
      </c>
      <c r="I94" s="164" t="s">
        <v>42</v>
      </c>
      <c r="J94" s="164" t="s">
        <v>43</v>
      </c>
      <c r="K94" s="164" t="s">
        <v>44</v>
      </c>
      <c r="L94" s="164" t="s">
        <v>45</v>
      </c>
      <c r="M94" s="164" t="s">
        <v>46</v>
      </c>
      <c r="N94" s="164" t="s">
        <v>47</v>
      </c>
      <c r="P94" s="164" t="s">
        <v>42</v>
      </c>
      <c r="Q94" s="164" t="s">
        <v>43</v>
      </c>
      <c r="R94" s="164" t="s">
        <v>44</v>
      </c>
      <c r="S94" s="164" t="s">
        <v>45</v>
      </c>
      <c r="T94" s="164" t="s">
        <v>46</v>
      </c>
      <c r="U94" s="164" t="s">
        <v>47</v>
      </c>
      <c r="W94" s="164" t="s">
        <v>42</v>
      </c>
      <c r="X94" s="164" t="s">
        <v>43</v>
      </c>
      <c r="Y94" s="164" t="s">
        <v>44</v>
      </c>
      <c r="Z94" s="164" t="s">
        <v>45</v>
      </c>
      <c r="AA94" s="164" t="s">
        <v>46</v>
      </c>
      <c r="AB94" s="164" t="s">
        <v>47</v>
      </c>
    </row>
    <row r="95" spans="2:28" ht="15.75">
      <c r="B95" s="227" t="s">
        <v>48</v>
      </c>
      <c r="C95" s="167">
        <f>COUNTIFS('1. All Data'!$AA$3:$AA$134,"Standing up for our communities",'1. All Data'!$H$3:$H$134,"Fully Achieved")</f>
        <v>1</v>
      </c>
      <c r="D95" s="250">
        <f>C95/C106</f>
        <v>0.2</v>
      </c>
      <c r="E95" s="413">
        <f>D95+D96</f>
        <v>0.60000000000000009</v>
      </c>
      <c r="F95" s="250">
        <f>C95/C107</f>
        <v>0.33333333333333331</v>
      </c>
      <c r="G95" s="415">
        <f>F95+F96</f>
        <v>1</v>
      </c>
      <c r="I95" s="227" t="s">
        <v>48</v>
      </c>
      <c r="J95" s="167">
        <f>COUNTIFS('1. All Data'!$AA$3:$AA$134,"Standing up for our communities",'1. All Data'!$M$3:$M$134,"Fully Achieved")</f>
        <v>3</v>
      </c>
      <c r="K95" s="250">
        <f>J95/J106</f>
        <v>0.6</v>
      </c>
      <c r="L95" s="413">
        <f>K95+K96</f>
        <v>1</v>
      </c>
      <c r="M95" s="250">
        <f>J95/J107</f>
        <v>0.6</v>
      </c>
      <c r="N95" s="415">
        <f>M95+M96</f>
        <v>1</v>
      </c>
      <c r="P95" s="227" t="s">
        <v>48</v>
      </c>
      <c r="Q95" s="167">
        <f>COUNTIFS('1. All Data'!$AA$3:$AA$134,"Standing up for our communities",'1. All Data'!$R$3:$R$134,"Fully Achieved")</f>
        <v>4</v>
      </c>
      <c r="R95" s="250">
        <f>Q95/Q106</f>
        <v>0.8</v>
      </c>
      <c r="S95" s="413">
        <f>R95+R96</f>
        <v>1</v>
      </c>
      <c r="T95" s="250">
        <f>Q95/Q107</f>
        <v>0.8</v>
      </c>
      <c r="U95" s="415">
        <f>T95+T96</f>
        <v>1</v>
      </c>
      <c r="W95" s="227" t="s">
        <v>48</v>
      </c>
      <c r="X95" s="167">
        <f>COUNTIFS('1. All Data'!$AA$3:$AA$134,"Standing up for our communities",'1. All Data'!$V$3:$V$134,"Fully Achieved")</f>
        <v>5</v>
      </c>
      <c r="Y95" s="250">
        <f>X95/X106</f>
        <v>1</v>
      </c>
      <c r="Z95" s="413">
        <f>Y95+Y96</f>
        <v>1</v>
      </c>
      <c r="AA95" s="250">
        <f>X95/X107</f>
        <v>1</v>
      </c>
      <c r="AB95" s="415">
        <f>AA95+AA96</f>
        <v>1</v>
      </c>
    </row>
    <row r="96" spans="2:28" ht="15.75">
      <c r="B96" s="227" t="s">
        <v>31</v>
      </c>
      <c r="C96" s="167">
        <f>COUNTIFS('1. All Data'!$AA$3:$AA$134,"Standing up for our communities",'1. All Data'!$H$3:$H$134,"On Track to be achieved")</f>
        <v>2</v>
      </c>
      <c r="D96" s="250">
        <f>C96/C106</f>
        <v>0.4</v>
      </c>
      <c r="E96" s="413"/>
      <c r="F96" s="250">
        <f>C96/C107</f>
        <v>0.66666666666666663</v>
      </c>
      <c r="G96" s="415"/>
      <c r="I96" s="227" t="s">
        <v>31</v>
      </c>
      <c r="J96" s="167">
        <f>COUNTIFS('1. All Data'!$AA$3:$AA$134,"Standing up for our communities",'1. All Data'!$M$3:$M$134,"On Track to be achieved")</f>
        <v>2</v>
      </c>
      <c r="K96" s="250">
        <f>J96/J106</f>
        <v>0.4</v>
      </c>
      <c r="L96" s="413"/>
      <c r="M96" s="250">
        <f>J96/J107</f>
        <v>0.4</v>
      </c>
      <c r="N96" s="415"/>
      <c r="P96" s="227" t="s">
        <v>31</v>
      </c>
      <c r="Q96" s="167">
        <f>COUNTIFS('1. All Data'!$AA$3:$AA$134,"Standing up for our communities",'1. All Data'!$R$3:$R$134,"On Track to be achieved")</f>
        <v>1</v>
      </c>
      <c r="R96" s="250">
        <f>Q96/Q106</f>
        <v>0.2</v>
      </c>
      <c r="S96" s="413"/>
      <c r="T96" s="250">
        <f>Q96/Q107</f>
        <v>0.2</v>
      </c>
      <c r="U96" s="415"/>
      <c r="W96" s="227" t="s">
        <v>23</v>
      </c>
      <c r="X96" s="167">
        <f>COUNTIFS('1. All Data'!$AA$3:$AA$134,"Standing up for our communities",'1. All Data'!$V$3:$V$134,"Numerical Outturn Within 5% Tolerance")</f>
        <v>0</v>
      </c>
      <c r="Y96" s="250">
        <f>X96/X106</f>
        <v>0</v>
      </c>
      <c r="Z96" s="413"/>
      <c r="AA96" s="250">
        <f>X96/X107</f>
        <v>0</v>
      </c>
      <c r="AB96" s="415"/>
    </row>
    <row r="97" spans="2:28" ht="15.75">
      <c r="B97" s="423" t="s">
        <v>32</v>
      </c>
      <c r="C97" s="426">
        <f>COUNTIFS('1. All Data'!$AA$3:$AA$134,"Standing up for our communities",'1. All Data'!$H$3:$H$134,"In Danger of Falling Behind Target")</f>
        <v>0</v>
      </c>
      <c r="D97" s="416">
        <f>C97/C106</f>
        <v>0</v>
      </c>
      <c r="E97" s="416">
        <f>D97</f>
        <v>0</v>
      </c>
      <c r="F97" s="416">
        <f>C97/C107</f>
        <v>0</v>
      </c>
      <c r="G97" s="419">
        <f>F97</f>
        <v>0</v>
      </c>
      <c r="I97" s="423" t="s">
        <v>32</v>
      </c>
      <c r="J97" s="426">
        <f>COUNTIFS('1. All Data'!$AA$3:$AA$134,"Standing up for our communities",'1. All Data'!$M$3:$M$134,"In Danger of Falling Behind Target")</f>
        <v>0</v>
      </c>
      <c r="K97" s="416">
        <f>J97/J106</f>
        <v>0</v>
      </c>
      <c r="L97" s="416">
        <f>K97</f>
        <v>0</v>
      </c>
      <c r="M97" s="416">
        <f>J97/J107</f>
        <v>0</v>
      </c>
      <c r="N97" s="419">
        <f>M97</f>
        <v>0</v>
      </c>
      <c r="P97" s="423" t="s">
        <v>32</v>
      </c>
      <c r="Q97" s="426">
        <f>COUNTIFS('1. All Data'!$AA$3:$AA$134,"Standing up for our communities",'1. All Data'!$R$3:$R$134,"In Danger of Falling Behind Target")</f>
        <v>0</v>
      </c>
      <c r="R97" s="416">
        <f>Q97/Q106</f>
        <v>0</v>
      </c>
      <c r="S97" s="416">
        <f>R97</f>
        <v>0</v>
      </c>
      <c r="T97" s="416">
        <f>Q97/Q107</f>
        <v>0</v>
      </c>
      <c r="U97" s="419">
        <f>T97</f>
        <v>0</v>
      </c>
      <c r="W97" s="169" t="s">
        <v>24</v>
      </c>
      <c r="X97" s="170">
        <f>COUNTIFS('1. All Data'!$AA$3:$AA$134,"Standing up for our communities",'1. All Data'!$V$3:$V$134,"Numerical Outturn Within 10% Tolerance")</f>
        <v>0</v>
      </c>
      <c r="Y97" s="250">
        <f>X97/$X$34</f>
        <v>0</v>
      </c>
      <c r="Z97" s="413">
        <f>SUM(Y97:Y99)</f>
        <v>0</v>
      </c>
      <c r="AA97" s="250">
        <f>X97/X107</f>
        <v>0</v>
      </c>
      <c r="AB97" s="422">
        <f>SUM(AA97:AA99)</f>
        <v>0</v>
      </c>
    </row>
    <row r="98" spans="2:28" ht="15.75">
      <c r="B98" s="424"/>
      <c r="C98" s="427"/>
      <c r="D98" s="417"/>
      <c r="E98" s="417"/>
      <c r="F98" s="417"/>
      <c r="G98" s="420"/>
      <c r="I98" s="424"/>
      <c r="J98" s="427"/>
      <c r="K98" s="417"/>
      <c r="L98" s="417"/>
      <c r="M98" s="417"/>
      <c r="N98" s="420"/>
      <c r="P98" s="424"/>
      <c r="Q98" s="427"/>
      <c r="R98" s="417"/>
      <c r="S98" s="417"/>
      <c r="T98" s="417"/>
      <c r="U98" s="420"/>
      <c r="W98" s="169" t="s">
        <v>25</v>
      </c>
      <c r="X98" s="170">
        <f>COUNTIFS('1. All Data'!$AA$3:$AA$134,"Standing up for our communities",'1. All Data'!$V$3:$V$134,"Target Partially Met")</f>
        <v>0</v>
      </c>
      <c r="Y98" s="250">
        <f>X98/$X$34</f>
        <v>0</v>
      </c>
      <c r="Z98" s="413"/>
      <c r="AA98" s="250">
        <f>X98/X107</f>
        <v>0</v>
      </c>
      <c r="AB98" s="422"/>
    </row>
    <row r="99" spans="2:28" ht="15.75">
      <c r="B99" s="425"/>
      <c r="C99" s="428"/>
      <c r="D99" s="418"/>
      <c r="E99" s="418"/>
      <c r="F99" s="418"/>
      <c r="G99" s="421"/>
      <c r="I99" s="425"/>
      <c r="J99" s="428"/>
      <c r="K99" s="418"/>
      <c r="L99" s="418"/>
      <c r="M99" s="418"/>
      <c r="N99" s="421"/>
      <c r="P99" s="425"/>
      <c r="Q99" s="428"/>
      <c r="R99" s="418"/>
      <c r="S99" s="418"/>
      <c r="T99" s="418"/>
      <c r="U99" s="421"/>
      <c r="W99" s="169" t="s">
        <v>28</v>
      </c>
      <c r="X99" s="170">
        <f>COUNTIFS('1. All Data'!$AA$3:$AA$134,"Standing up for our communities",'1. All Data'!$V$3:$V$134,"Completion Date Within Reasonable Tolerance")</f>
        <v>0</v>
      </c>
      <c r="Y99" s="250">
        <f>X99/$X$34</f>
        <v>0</v>
      </c>
      <c r="Z99" s="413"/>
      <c r="AA99" s="250">
        <f>X99/X107</f>
        <v>0</v>
      </c>
      <c r="AB99" s="422"/>
    </row>
    <row r="100" spans="2:28" ht="15.75">
      <c r="B100" s="171" t="s">
        <v>33</v>
      </c>
      <c r="C100" s="167">
        <f>COUNTIFS('1. All Data'!$AA$3:$AA$134,"Standing up for our communities",'1. All Data'!$H$3:$H$134,"Completed Behind Schedule")</f>
        <v>0</v>
      </c>
      <c r="D100" s="250">
        <f>C100/C106</f>
        <v>0</v>
      </c>
      <c r="E100" s="413">
        <f>D100+D101</f>
        <v>0</v>
      </c>
      <c r="F100" s="250">
        <f>C100/C107</f>
        <v>0</v>
      </c>
      <c r="G100" s="414">
        <f>F100+F101</f>
        <v>0</v>
      </c>
      <c r="I100" s="171" t="s">
        <v>33</v>
      </c>
      <c r="J100" s="167">
        <f>COUNTIFS('1. All Data'!$AA$3:$AA$134,"Standing up for our communities",'1. All Data'!$M$3:$M$134,"Completed Behind Schedule")</f>
        <v>0</v>
      </c>
      <c r="K100" s="250">
        <f>J100/J106</f>
        <v>0</v>
      </c>
      <c r="L100" s="413">
        <f>K100+K101</f>
        <v>0</v>
      </c>
      <c r="M100" s="250">
        <f>J100/J107</f>
        <v>0</v>
      </c>
      <c r="N100" s="414">
        <f>M100+M101</f>
        <v>0</v>
      </c>
      <c r="P100" s="171" t="s">
        <v>33</v>
      </c>
      <c r="Q100" s="167">
        <f>COUNTIFS('1. All Data'!$AA$3:$AA$134,"Standing up for our communities",'1. All Data'!$R$3:$R$134,"Completed Behind Schedule")</f>
        <v>0</v>
      </c>
      <c r="R100" s="250">
        <f>Q100/Q106</f>
        <v>0</v>
      </c>
      <c r="S100" s="413">
        <f>R100+R101</f>
        <v>0</v>
      </c>
      <c r="T100" s="250">
        <f>Q100/Q107</f>
        <v>0</v>
      </c>
      <c r="U100" s="414">
        <f>T100+T101</f>
        <v>0</v>
      </c>
      <c r="W100" s="171" t="s">
        <v>27</v>
      </c>
      <c r="X100" s="167">
        <f>COUNTIFS('1. All Data'!$AA$3:$AA$134,"Standing up for our communities",'1. All Data'!$V$3:$V$134,"Completed Significantly After Target Deadline")</f>
        <v>0</v>
      </c>
      <c r="Y100" s="250">
        <f>X100/$X$34</f>
        <v>0</v>
      </c>
      <c r="Z100" s="413">
        <f>SUM(Y100:Y101)</f>
        <v>0</v>
      </c>
      <c r="AA100" s="250">
        <f>X100/X107</f>
        <v>0</v>
      </c>
      <c r="AB100" s="414">
        <f>AA100+AA101</f>
        <v>0</v>
      </c>
    </row>
    <row r="101" spans="2:28" ht="15.75">
      <c r="B101" s="171" t="s">
        <v>26</v>
      </c>
      <c r="C101" s="167">
        <f>COUNTIFS('1. All Data'!$AA$3:$AA$134,"Standing up for our communities",'1. All Data'!$H$3:$H$134,"Off Target")</f>
        <v>0</v>
      </c>
      <c r="D101" s="250">
        <f>C101/C106</f>
        <v>0</v>
      </c>
      <c r="E101" s="413"/>
      <c r="F101" s="250">
        <f>C101/C107</f>
        <v>0</v>
      </c>
      <c r="G101" s="414"/>
      <c r="I101" s="171" t="s">
        <v>26</v>
      </c>
      <c r="J101" s="167">
        <f>COUNTIFS('1. All Data'!$AA$3:$AA$134,"Standing up for our communities",'1. All Data'!$M$3:$M$134,"Off Target")</f>
        <v>0</v>
      </c>
      <c r="K101" s="250">
        <f>J101/J106</f>
        <v>0</v>
      </c>
      <c r="L101" s="413"/>
      <c r="M101" s="250">
        <f>J101/J107</f>
        <v>0</v>
      </c>
      <c r="N101" s="414"/>
      <c r="P101" s="171" t="s">
        <v>26</v>
      </c>
      <c r="Q101" s="167">
        <f>COUNTIFS('1. All Data'!$AA$3:$AA$134,"Standing up for our communities",'1. All Data'!$R$3:$R$134,"Off Target")</f>
        <v>0</v>
      </c>
      <c r="R101" s="250">
        <f>Q101/Q106</f>
        <v>0</v>
      </c>
      <c r="S101" s="413"/>
      <c r="T101" s="250">
        <f>Q101/Q107</f>
        <v>0</v>
      </c>
      <c r="U101" s="414"/>
      <c r="W101" s="171" t="s">
        <v>26</v>
      </c>
      <c r="X101" s="167">
        <f>COUNTIFS('1. All Data'!$AA$3:$AA$134,"Standing up for our communities",'1. All Data'!$V$3:$V$134,"Off Target")</f>
        <v>0</v>
      </c>
      <c r="Y101" s="250">
        <f>X101/$X$34</f>
        <v>0</v>
      </c>
      <c r="Z101" s="413"/>
      <c r="AA101" s="250">
        <f>X101/X107</f>
        <v>0</v>
      </c>
      <c r="AB101" s="414"/>
    </row>
    <row r="102" spans="2:28" ht="15.75">
      <c r="B102" s="172" t="s">
        <v>49</v>
      </c>
      <c r="C102" s="167">
        <f>COUNTIFS('1. All Data'!$AA$3:$AA$134,"Standing up for our communities",'1. All Data'!$H$3:$H$134,"Not yet due")</f>
        <v>2</v>
      </c>
      <c r="D102" s="173">
        <f>C102/C106</f>
        <v>0.4</v>
      </c>
      <c r="E102" s="173">
        <f>D102</f>
        <v>0.4</v>
      </c>
      <c r="F102" s="174"/>
      <c r="G102" s="58"/>
      <c r="I102" s="172" t="s">
        <v>49</v>
      </c>
      <c r="J102" s="167">
        <f>COUNTIFS('1. All Data'!$AA$3:$AA$134,"Standing up for our communities",'1. All Data'!$M$3:$M$134,"Not yet due")</f>
        <v>0</v>
      </c>
      <c r="K102" s="173">
        <f>J102/J106</f>
        <v>0</v>
      </c>
      <c r="L102" s="173">
        <f>K102</f>
        <v>0</v>
      </c>
      <c r="M102" s="174"/>
      <c r="N102" s="58"/>
      <c r="P102" s="172" t="s">
        <v>49</v>
      </c>
      <c r="Q102" s="167">
        <f>COUNTIFS('1. All Data'!$AA$3:$AA$134,"Standing up for our communities",'1. All Data'!$R$3:$R$134,"Not yet due")</f>
        <v>0</v>
      </c>
      <c r="R102" s="173">
        <f>Q102/Q106</f>
        <v>0</v>
      </c>
      <c r="S102" s="173">
        <f>R102</f>
        <v>0</v>
      </c>
      <c r="T102" s="174"/>
      <c r="U102" s="58"/>
      <c r="W102" s="172" t="s">
        <v>49</v>
      </c>
      <c r="X102" s="167">
        <f>COUNTIFS('1. All Data'!$AA$3:$AA$134,"Standing up for our communities",'1. All Data'!$V$3:$V$134,"Not yet due")</f>
        <v>0</v>
      </c>
      <c r="Y102" s="250">
        <f t="shared" ref="Y102:Y105" si="11">X102/$X$34</f>
        <v>0</v>
      </c>
      <c r="Z102" s="250">
        <f>Y102</f>
        <v>0</v>
      </c>
      <c r="AA102" s="174"/>
      <c r="AB102" s="58"/>
    </row>
    <row r="103" spans="2:28" ht="15.75">
      <c r="B103" s="172" t="s">
        <v>21</v>
      </c>
      <c r="C103" s="167">
        <f>COUNTIFS('1. All Data'!$AA$3:$AA$134,"Standing up for our communities",'1. All Data'!$H$3:$H$134,"update not provided")</f>
        <v>0</v>
      </c>
      <c r="D103" s="173">
        <f>C103/C106</f>
        <v>0</v>
      </c>
      <c r="E103" s="173">
        <f>D103</f>
        <v>0</v>
      </c>
      <c r="F103" s="174"/>
      <c r="G103" s="2"/>
      <c r="I103" s="172" t="s">
        <v>21</v>
      </c>
      <c r="J103" s="167">
        <f>COUNTIFS('1. All Data'!$AA$3:$AA$134,"Standing up for our communities",'1. All Data'!$M$3:$M$134,"update not provided")</f>
        <v>0</v>
      </c>
      <c r="K103" s="173">
        <f>J103/J106</f>
        <v>0</v>
      </c>
      <c r="L103" s="173">
        <f>K103</f>
        <v>0</v>
      </c>
      <c r="M103" s="174"/>
      <c r="N103" s="2"/>
      <c r="P103" s="172" t="s">
        <v>21</v>
      </c>
      <c r="Q103" s="167">
        <f>COUNTIFS('1. All Data'!$AA$3:$AA$134,"Standing up for our communities",'1. All Data'!$R$3:$R$134,"update not provided")</f>
        <v>0</v>
      </c>
      <c r="R103" s="173">
        <f>Q103/Q106</f>
        <v>0</v>
      </c>
      <c r="S103" s="173">
        <f>R103</f>
        <v>0</v>
      </c>
      <c r="T103" s="174"/>
      <c r="U103" s="2"/>
      <c r="W103" s="172" t="s">
        <v>21</v>
      </c>
      <c r="X103" s="167">
        <f>COUNTIFS('1. All Data'!$AA$3:$AA$134,"Standing up for our communities",'1. All Data'!$V$3:$V$134,"update not provided")</f>
        <v>0</v>
      </c>
      <c r="Y103" s="250">
        <f t="shared" si="11"/>
        <v>0</v>
      </c>
      <c r="Z103" s="250">
        <f>Y103</f>
        <v>0</v>
      </c>
      <c r="AA103" s="174"/>
      <c r="AB103" s="2"/>
    </row>
    <row r="104" spans="2:28" ht="15.75">
      <c r="B104" s="175" t="s">
        <v>29</v>
      </c>
      <c r="C104" s="167">
        <f>COUNTIFS('1. All Data'!$AA$3:$AA$134,"Standing up for our communities",'1. All Data'!$H$3:$H$134,"Deferred")</f>
        <v>0</v>
      </c>
      <c r="D104" s="176">
        <f>C104/C106</f>
        <v>0</v>
      </c>
      <c r="E104" s="176">
        <f>D104</f>
        <v>0</v>
      </c>
      <c r="F104" s="177"/>
      <c r="G104" s="58"/>
      <c r="I104" s="175" t="s">
        <v>29</v>
      </c>
      <c r="J104" s="167">
        <f>COUNTIFS('1. All Data'!$AA$3:$AA$134,"Standing up for our communities",'1. All Data'!$M$3:$M$134,"Deferred")</f>
        <v>0</v>
      </c>
      <c r="K104" s="176">
        <f>J104/J106</f>
        <v>0</v>
      </c>
      <c r="L104" s="176">
        <f>K104</f>
        <v>0</v>
      </c>
      <c r="M104" s="177"/>
      <c r="N104" s="58"/>
      <c r="P104" s="175" t="s">
        <v>29</v>
      </c>
      <c r="Q104" s="167">
        <f>COUNTIFS('1. All Data'!$AA$3:$AA$134,"Standing up for our communities",'1. All Data'!$R$3:$R$134,"Deferred")</f>
        <v>0</v>
      </c>
      <c r="R104" s="176">
        <f>Q104/Q106</f>
        <v>0</v>
      </c>
      <c r="S104" s="176">
        <f>R104</f>
        <v>0</v>
      </c>
      <c r="T104" s="177"/>
      <c r="U104" s="58"/>
      <c r="W104" s="175" t="s">
        <v>29</v>
      </c>
      <c r="X104" s="167">
        <f>COUNTIFS('1. All Data'!$AA$3:$AA$134,"Standing up for our communities",'1. All Data'!$V$3:$V$134,"Deferred")</f>
        <v>0</v>
      </c>
      <c r="Y104" s="250">
        <f t="shared" si="11"/>
        <v>0</v>
      </c>
      <c r="Z104" s="250">
        <f t="shared" ref="Z104:Z105" si="12">Y104</f>
        <v>0</v>
      </c>
      <c r="AA104" s="177"/>
      <c r="AB104" s="58"/>
    </row>
    <row r="105" spans="2:28" ht="15.75">
      <c r="B105" s="175" t="s">
        <v>30</v>
      </c>
      <c r="C105" s="167">
        <f>COUNTIFS('1. All Data'!$AA$3:$AA$134,"Standing up for our communities",'1. All Data'!$H$3:$H$134,"Deleted")</f>
        <v>0</v>
      </c>
      <c r="D105" s="176">
        <f>C105/C106</f>
        <v>0</v>
      </c>
      <c r="E105" s="176">
        <f>D105</f>
        <v>0</v>
      </c>
      <c r="F105" s="177"/>
      <c r="G105" s="3"/>
      <c r="I105" s="175" t="s">
        <v>30</v>
      </c>
      <c r="J105" s="167">
        <f>COUNTIFS('1. All Data'!$AA$3:$AA$134,"Standing up for our communities",'1. All Data'!$M$3:$M$134,"Deleted")</f>
        <v>0</v>
      </c>
      <c r="K105" s="176">
        <f>J105/J106</f>
        <v>0</v>
      </c>
      <c r="L105" s="176">
        <f>K105</f>
        <v>0</v>
      </c>
      <c r="M105" s="177"/>
      <c r="N105" s="3"/>
      <c r="P105" s="175" t="s">
        <v>30</v>
      </c>
      <c r="Q105" s="167">
        <f>COUNTIFS('1. All Data'!$AA$3:$AA$134,"Standing up for our communities",'1. All Data'!$R$3:$R$134,"Deleted")</f>
        <v>0</v>
      </c>
      <c r="R105" s="176">
        <f>Q105/Q106</f>
        <v>0</v>
      </c>
      <c r="S105" s="176">
        <f>R105</f>
        <v>0</v>
      </c>
      <c r="T105" s="177"/>
      <c r="U105" s="3"/>
      <c r="W105" s="175" t="s">
        <v>30</v>
      </c>
      <c r="X105" s="167">
        <f>COUNTIFS('1. All Data'!$AA$3:$AA$134,"Standing up for our communities",'1. All Data'!$V$3:$V$134,"Deleted")</f>
        <v>0</v>
      </c>
      <c r="Y105" s="250">
        <f t="shared" si="11"/>
        <v>0</v>
      </c>
      <c r="Z105" s="250">
        <f t="shared" si="12"/>
        <v>0</v>
      </c>
      <c r="AA105" s="177"/>
    </row>
    <row r="106" spans="2:28" ht="15.75">
      <c r="B106" s="193" t="s">
        <v>51</v>
      </c>
      <c r="C106" s="179">
        <f>SUM(C95:C105)</f>
        <v>5</v>
      </c>
      <c r="D106" s="177"/>
      <c r="E106" s="177"/>
      <c r="F106" s="58"/>
      <c r="G106" s="58"/>
      <c r="I106" s="193" t="s">
        <v>51</v>
      </c>
      <c r="J106" s="179">
        <f>SUM(J95:J105)</f>
        <v>5</v>
      </c>
      <c r="K106" s="177"/>
      <c r="L106" s="177"/>
      <c r="M106" s="58"/>
      <c r="N106" s="58"/>
      <c r="P106" s="193" t="s">
        <v>51</v>
      </c>
      <c r="Q106" s="179">
        <f>SUM(Q95:Q105)</f>
        <v>5</v>
      </c>
      <c r="R106" s="177"/>
      <c r="S106" s="177"/>
      <c r="T106" s="58"/>
      <c r="U106" s="58"/>
      <c r="W106" s="178" t="s">
        <v>51</v>
      </c>
      <c r="X106" s="179">
        <f>SUM(X95:X105)</f>
        <v>5</v>
      </c>
      <c r="Y106" s="177"/>
      <c r="Z106" s="177"/>
      <c r="AA106" s="58"/>
      <c r="AB106" s="58"/>
    </row>
    <row r="107" spans="2:28" ht="15.75">
      <c r="B107" s="193" t="s">
        <v>52</v>
      </c>
      <c r="C107" s="179">
        <f>C106-C105-C104-C103-C102</f>
        <v>3</v>
      </c>
      <c r="D107" s="58"/>
      <c r="E107" s="58"/>
      <c r="F107" s="58"/>
      <c r="G107" s="58"/>
      <c r="I107" s="193" t="s">
        <v>52</v>
      </c>
      <c r="J107" s="179">
        <f>J106-J105-J104-J103-J102</f>
        <v>5</v>
      </c>
      <c r="K107" s="58"/>
      <c r="L107" s="58"/>
      <c r="M107" s="58"/>
      <c r="N107" s="58"/>
      <c r="P107" s="193" t="s">
        <v>52</v>
      </c>
      <c r="Q107" s="179">
        <f>Q106-Q105-Q104-Q103-Q102</f>
        <v>5</v>
      </c>
      <c r="R107" s="58"/>
      <c r="S107" s="58"/>
      <c r="T107" s="58"/>
      <c r="U107" s="58"/>
      <c r="W107" s="178" t="s">
        <v>52</v>
      </c>
      <c r="X107" s="179">
        <f>X106-X105-X104-X103-X102</f>
        <v>5</v>
      </c>
      <c r="Y107" s="58"/>
      <c r="Z107" s="58"/>
      <c r="AA107" s="58"/>
      <c r="AB107" s="58"/>
    </row>
    <row r="109" spans="2:28" hidden="1"/>
    <row r="110" spans="2:28" hidden="1"/>
    <row r="111" spans="2:28" ht="15.75">
      <c r="B111" s="188" t="s">
        <v>412</v>
      </c>
      <c r="C111" s="189"/>
      <c r="D111" s="189"/>
      <c r="E111" s="189"/>
      <c r="F111" s="190"/>
      <c r="G111" s="191"/>
      <c r="I111" s="188" t="s">
        <v>412</v>
      </c>
      <c r="J111" s="189"/>
      <c r="K111" s="189"/>
      <c r="L111" s="189"/>
      <c r="M111" s="190"/>
      <c r="N111" s="191"/>
      <c r="P111" s="188" t="s">
        <v>412</v>
      </c>
      <c r="Q111" s="189"/>
      <c r="R111" s="189"/>
      <c r="S111" s="189"/>
      <c r="T111" s="190"/>
      <c r="U111" s="191"/>
      <c r="W111" s="188" t="s">
        <v>412</v>
      </c>
      <c r="X111" s="195"/>
      <c r="Y111" s="162"/>
      <c r="Z111" s="162"/>
      <c r="AA111" s="162"/>
      <c r="AB111" s="163"/>
    </row>
    <row r="112" spans="2:28" ht="31.5">
      <c r="B112" s="164" t="s">
        <v>42</v>
      </c>
      <c r="C112" s="164" t="s">
        <v>43</v>
      </c>
      <c r="D112" s="164" t="s">
        <v>44</v>
      </c>
      <c r="E112" s="164" t="s">
        <v>45</v>
      </c>
      <c r="F112" s="164" t="s">
        <v>46</v>
      </c>
      <c r="G112" s="164" t="s">
        <v>47</v>
      </c>
      <c r="I112" s="164" t="s">
        <v>42</v>
      </c>
      <c r="J112" s="164" t="s">
        <v>43</v>
      </c>
      <c r="K112" s="164" t="s">
        <v>44</v>
      </c>
      <c r="L112" s="164" t="s">
        <v>45</v>
      </c>
      <c r="M112" s="164" t="s">
        <v>46</v>
      </c>
      <c r="N112" s="164" t="s">
        <v>47</v>
      </c>
      <c r="P112" s="164" t="s">
        <v>42</v>
      </c>
      <c r="Q112" s="164" t="s">
        <v>43</v>
      </c>
      <c r="R112" s="164" t="s">
        <v>44</v>
      </c>
      <c r="S112" s="164" t="s">
        <v>45</v>
      </c>
      <c r="T112" s="164" t="s">
        <v>46</v>
      </c>
      <c r="U112" s="164" t="s">
        <v>47</v>
      </c>
      <c r="W112" s="164" t="s">
        <v>42</v>
      </c>
      <c r="X112" s="164" t="s">
        <v>43</v>
      </c>
      <c r="Y112" s="164" t="s">
        <v>44</v>
      </c>
      <c r="Z112" s="164" t="s">
        <v>45</v>
      </c>
      <c r="AA112" s="164" t="s">
        <v>46</v>
      </c>
      <c r="AB112" s="164" t="s">
        <v>47</v>
      </c>
    </row>
    <row r="113" spans="2:28" ht="15.6" customHeight="1">
      <c r="B113" s="227" t="s">
        <v>48</v>
      </c>
      <c r="C113" s="167">
        <f>COUNTIFS('1. All Data'!$AA$3:$AA$134,"",'1. All Data'!$H$3:$H$134,"Fully Achieved")</f>
        <v>0</v>
      </c>
      <c r="D113" s="250" t="e">
        <f>C113/C124</f>
        <v>#DIV/0!</v>
      </c>
      <c r="E113" s="413" t="e">
        <f>D113+D114</f>
        <v>#DIV/0!</v>
      </c>
      <c r="F113" s="250" t="e">
        <f>C113/C125</f>
        <v>#DIV/0!</v>
      </c>
      <c r="G113" s="415" t="e">
        <f>F113+F114</f>
        <v>#DIV/0!</v>
      </c>
      <c r="I113" s="227" t="s">
        <v>48</v>
      </c>
      <c r="J113" s="167">
        <f>COUNTIFS('1. All Data'!$AA$3:$AA$134,"",'1. All Data'!$M$3:$M$134,"Fully Achieved")</f>
        <v>0</v>
      </c>
      <c r="K113" s="250" t="e">
        <f>J113/J124</f>
        <v>#DIV/0!</v>
      </c>
      <c r="L113" s="413" t="e">
        <f>K113+K114</f>
        <v>#DIV/0!</v>
      </c>
      <c r="M113" s="250" t="e">
        <f>J113/J125</f>
        <v>#DIV/0!</v>
      </c>
      <c r="N113" s="415" t="e">
        <f>M113+M114</f>
        <v>#DIV/0!</v>
      </c>
      <c r="P113" s="227" t="s">
        <v>48</v>
      </c>
      <c r="Q113" s="167">
        <f>COUNTIFS('1. All Data'!$AA$3:$AA$134,"Other",'1. All Data'!$R$3:$R$134,"Fully Achieved")</f>
        <v>40</v>
      </c>
      <c r="R113" s="320">
        <f>Q113/Q124</f>
        <v>0.42553191489361702</v>
      </c>
      <c r="S113" s="413">
        <f>R113+R114</f>
        <v>0.87234042553191493</v>
      </c>
      <c r="T113" s="320">
        <f>Q113/Q125</f>
        <v>0.44444444444444442</v>
      </c>
      <c r="U113" s="415">
        <f>T113+T114</f>
        <v>0.91111111111111109</v>
      </c>
      <c r="W113" s="227" t="s">
        <v>48</v>
      </c>
      <c r="X113" s="167">
        <f>COUNTIFS('1. All Data'!$AA$3:$AA$134,"Other",'1. All Data'!$V$3:$V$134,"Fully Achieved")</f>
        <v>81</v>
      </c>
      <c r="Y113" s="250">
        <f>X113/X124</f>
        <v>0.86170212765957444</v>
      </c>
      <c r="Z113" s="413">
        <f>Y113+Y114</f>
        <v>0.91489361702127658</v>
      </c>
      <c r="AA113" s="250">
        <f>X113/X125</f>
        <v>0.87096774193548387</v>
      </c>
      <c r="AB113" s="415">
        <f>AA113+AA114</f>
        <v>0.92473118279569888</v>
      </c>
    </row>
    <row r="114" spans="2:28" ht="15.6" customHeight="1">
      <c r="B114" s="227" t="s">
        <v>31</v>
      </c>
      <c r="C114" s="167">
        <f>COUNTIFS('1. All Data'!$AA$3:$AA$134,"",'1. All Data'!$H$3:$H$134,"On Track to be achieved")</f>
        <v>0</v>
      </c>
      <c r="D114" s="250" t="e">
        <f>C114/C124</f>
        <v>#DIV/0!</v>
      </c>
      <c r="E114" s="413"/>
      <c r="F114" s="250" t="e">
        <f>C114/C125</f>
        <v>#DIV/0!</v>
      </c>
      <c r="G114" s="415"/>
      <c r="I114" s="227" t="s">
        <v>31</v>
      </c>
      <c r="J114" s="167">
        <f>COUNTIFS('1. All Data'!$AA$3:$AA$134,"",'1. All Data'!$M$3:$M$134,"On Track to be achieved")</f>
        <v>0</v>
      </c>
      <c r="K114" s="250" t="e">
        <f>J114/J124</f>
        <v>#DIV/0!</v>
      </c>
      <c r="L114" s="413"/>
      <c r="M114" s="250" t="e">
        <f>J114/J125</f>
        <v>#DIV/0!</v>
      </c>
      <c r="N114" s="415"/>
      <c r="P114" s="227" t="s">
        <v>31</v>
      </c>
      <c r="Q114" s="167">
        <f>COUNTIFS('1. All Data'!$AA$3:$AA$134,"Other",'1. All Data'!$R$3:$R$134,"On Track to be achieved")</f>
        <v>42</v>
      </c>
      <c r="R114" s="320">
        <f>Q114/Q124</f>
        <v>0.44680851063829785</v>
      </c>
      <c r="S114" s="413"/>
      <c r="T114" s="320">
        <f>Q114/Q125</f>
        <v>0.46666666666666667</v>
      </c>
      <c r="U114" s="415"/>
      <c r="W114" s="227" t="s">
        <v>23</v>
      </c>
      <c r="X114" s="167">
        <f>COUNTIFS('1. All Data'!$AA$3:$AA$134,"Other",'1. All Data'!$V$3:$V$134,"Numerical Outturn Within 5% Tolerance")</f>
        <v>5</v>
      </c>
      <c r="Y114" s="250">
        <f>X114/X124</f>
        <v>5.3191489361702128E-2</v>
      </c>
      <c r="Z114" s="413"/>
      <c r="AA114" s="250">
        <f>X114/X125</f>
        <v>5.3763440860215055E-2</v>
      </c>
      <c r="AB114" s="415"/>
    </row>
    <row r="115" spans="2:28" ht="15.6" customHeight="1">
      <c r="B115" s="423" t="s">
        <v>32</v>
      </c>
      <c r="C115" s="426">
        <f>COUNTIFS('1. All Data'!$AA$3:$AA$134,"",'1. All Data'!$H$3:$H$134,"In Danger of Falling Behind Target")</f>
        <v>0</v>
      </c>
      <c r="D115" s="416" t="e">
        <f>C115/C124</f>
        <v>#DIV/0!</v>
      </c>
      <c r="E115" s="416" t="e">
        <f>D115</f>
        <v>#DIV/0!</v>
      </c>
      <c r="F115" s="416" t="e">
        <f>C115/C125</f>
        <v>#DIV/0!</v>
      </c>
      <c r="G115" s="419" t="e">
        <f>F115</f>
        <v>#DIV/0!</v>
      </c>
      <c r="I115" s="423" t="s">
        <v>32</v>
      </c>
      <c r="J115" s="426">
        <f>COUNTIFS('1. All Data'!$AA$3:$AA$134,"",'1. All Data'!$M$3:$M$134,"In Danger of Falling Behind Target")</f>
        <v>0</v>
      </c>
      <c r="K115" s="416" t="e">
        <f>J115/J124</f>
        <v>#DIV/0!</v>
      </c>
      <c r="L115" s="416" t="e">
        <f>K115</f>
        <v>#DIV/0!</v>
      </c>
      <c r="M115" s="416" t="e">
        <f>J115/J125</f>
        <v>#DIV/0!</v>
      </c>
      <c r="N115" s="419" t="e">
        <f>M115</f>
        <v>#DIV/0!</v>
      </c>
      <c r="P115" s="423" t="s">
        <v>32</v>
      </c>
      <c r="Q115" s="426">
        <f>COUNTIFS('1. All Data'!$AA$3:$AA$134,"Other",'1. All Data'!$R$3:$R$134,"In Danger of Falling Behind Target")</f>
        <v>3</v>
      </c>
      <c r="R115" s="416">
        <f>Q115/Q124</f>
        <v>3.1914893617021274E-2</v>
      </c>
      <c r="S115" s="416">
        <f>R115</f>
        <v>3.1914893617021274E-2</v>
      </c>
      <c r="T115" s="416">
        <f>Q115/Q125</f>
        <v>3.3333333333333333E-2</v>
      </c>
      <c r="U115" s="419">
        <f>T115</f>
        <v>3.3333333333333333E-2</v>
      </c>
      <c r="W115" s="169" t="s">
        <v>24</v>
      </c>
      <c r="X115" s="170">
        <f>COUNTIFS('1. All Data'!$AA$3:$AA$134,"Other",'1. All Data'!$V$3:$V$134,"Numerical Outturn Within 10% Tolerance")</f>
        <v>1</v>
      </c>
      <c r="Y115" s="250">
        <f>X115/$X$34</f>
        <v>0.16666666666666666</v>
      </c>
      <c r="Z115" s="413">
        <f>SUM(Y115:Y117)</f>
        <v>0.33333333333333331</v>
      </c>
      <c r="AA115" s="250">
        <f>X115/X125</f>
        <v>1.0752688172043012E-2</v>
      </c>
      <c r="AB115" s="422">
        <f>SUM(AA115:AA117)</f>
        <v>2.1505376344086023E-2</v>
      </c>
    </row>
    <row r="116" spans="2:28" ht="15.6" customHeight="1">
      <c r="B116" s="424"/>
      <c r="C116" s="427"/>
      <c r="D116" s="417"/>
      <c r="E116" s="417"/>
      <c r="F116" s="417"/>
      <c r="G116" s="420"/>
      <c r="I116" s="424"/>
      <c r="J116" s="427"/>
      <c r="K116" s="417"/>
      <c r="L116" s="417"/>
      <c r="M116" s="417"/>
      <c r="N116" s="420"/>
      <c r="P116" s="424"/>
      <c r="Q116" s="427"/>
      <c r="R116" s="417"/>
      <c r="S116" s="417"/>
      <c r="T116" s="417"/>
      <c r="U116" s="420"/>
      <c r="W116" s="169" t="s">
        <v>25</v>
      </c>
      <c r="X116" s="170">
        <f>COUNTIFS('1. All Data'!$AA$3:$AA$134,"Other",'1. All Data'!$V$3:$V$134,"Target Partially Met")</f>
        <v>0</v>
      </c>
      <c r="Y116" s="250">
        <f>X116/$X$34</f>
        <v>0</v>
      </c>
      <c r="Z116" s="413"/>
      <c r="AA116" s="250">
        <f>X116/X125</f>
        <v>0</v>
      </c>
      <c r="AB116" s="422"/>
    </row>
    <row r="117" spans="2:28" ht="15.6" customHeight="1">
      <c r="B117" s="425"/>
      <c r="C117" s="428"/>
      <c r="D117" s="418"/>
      <c r="E117" s="418"/>
      <c r="F117" s="418"/>
      <c r="G117" s="421"/>
      <c r="I117" s="425"/>
      <c r="J117" s="428"/>
      <c r="K117" s="418"/>
      <c r="L117" s="418"/>
      <c r="M117" s="418"/>
      <c r="N117" s="421"/>
      <c r="P117" s="425"/>
      <c r="Q117" s="428"/>
      <c r="R117" s="418"/>
      <c r="S117" s="418"/>
      <c r="T117" s="418"/>
      <c r="U117" s="421"/>
      <c r="W117" s="169" t="s">
        <v>28</v>
      </c>
      <c r="X117" s="170">
        <f>COUNTIFS('1. All Data'!$AA$3:$AA$134,"Other",'1. All Data'!$V$3:$V$134,"Completion Date Within Reasonable Tolerance")</f>
        <v>1</v>
      </c>
      <c r="Y117" s="250">
        <f>X117/$X$34</f>
        <v>0.16666666666666666</v>
      </c>
      <c r="Z117" s="413"/>
      <c r="AA117" s="250">
        <f>X117/X125</f>
        <v>1.0752688172043012E-2</v>
      </c>
      <c r="AB117" s="422"/>
    </row>
    <row r="118" spans="2:28" ht="15.6" customHeight="1">
      <c r="B118" s="171" t="s">
        <v>33</v>
      </c>
      <c r="C118" s="167">
        <f>COUNTIFS('1. All Data'!$AA$3:$AA$134,"",'1. All Data'!$H$3:$H$134,"Completed Behind Schedule")</f>
        <v>0</v>
      </c>
      <c r="D118" s="250" t="e">
        <f>C118/C124</f>
        <v>#DIV/0!</v>
      </c>
      <c r="E118" s="413" t="e">
        <f>D118+D119</f>
        <v>#DIV/0!</v>
      </c>
      <c r="F118" s="250" t="e">
        <f>C118/C125</f>
        <v>#DIV/0!</v>
      </c>
      <c r="G118" s="414" t="e">
        <f>F118+F119</f>
        <v>#DIV/0!</v>
      </c>
      <c r="I118" s="171" t="s">
        <v>33</v>
      </c>
      <c r="J118" s="167">
        <f>COUNTIFS('1. All Data'!$AA$3:$AA$134,"",'1. All Data'!$M$3:$M$134,"Completed Behind Schedule")</f>
        <v>0</v>
      </c>
      <c r="K118" s="250" t="e">
        <f>J118/J124</f>
        <v>#DIV/0!</v>
      </c>
      <c r="L118" s="413" t="e">
        <f>K118+K119</f>
        <v>#DIV/0!</v>
      </c>
      <c r="M118" s="250" t="e">
        <f>J118/J125</f>
        <v>#DIV/0!</v>
      </c>
      <c r="N118" s="414" t="e">
        <f>M118+M119</f>
        <v>#DIV/0!</v>
      </c>
      <c r="P118" s="171" t="s">
        <v>33</v>
      </c>
      <c r="Q118" s="167">
        <f>COUNTIFS('1. All Data'!$AA$3:$AA$134,"Other",'1. All Data'!$R$3:$R$134,"Completed Behind Schedule")</f>
        <v>2</v>
      </c>
      <c r="R118" s="320">
        <f>Q118/Q124</f>
        <v>2.1276595744680851E-2</v>
      </c>
      <c r="S118" s="413">
        <f>R118+R119</f>
        <v>5.3191489361702121E-2</v>
      </c>
      <c r="T118" s="320">
        <f>Q118/Q125</f>
        <v>2.2222222222222223E-2</v>
      </c>
      <c r="U118" s="414">
        <f>T118+T119</f>
        <v>5.5555555555555552E-2</v>
      </c>
      <c r="W118" s="171" t="s">
        <v>27</v>
      </c>
      <c r="X118" s="167">
        <f>COUNTIFS('1. All Data'!$AA$3:$AA$134,"Other",'1. All Data'!$V$3:$V$134,"Completed Significantly After Target Deadline")</f>
        <v>1</v>
      </c>
      <c r="Y118" s="250">
        <f>X118/$X$34</f>
        <v>0.16666666666666666</v>
      </c>
      <c r="Z118" s="413">
        <f>SUM(Y118:Y119)</f>
        <v>0.83333333333333326</v>
      </c>
      <c r="AA118" s="250">
        <f>X118/X125</f>
        <v>1.0752688172043012E-2</v>
      </c>
      <c r="AB118" s="414">
        <f>AA118+AA119</f>
        <v>5.3763440860215062E-2</v>
      </c>
    </row>
    <row r="119" spans="2:28" ht="15.6" customHeight="1">
      <c r="B119" s="171" t="s">
        <v>26</v>
      </c>
      <c r="C119" s="167">
        <f>COUNTIFS('1. All Data'!$AA$3:$AA$134,"",'1. All Data'!$H$3:$H$134,"Off Target")</f>
        <v>0</v>
      </c>
      <c r="D119" s="250" t="e">
        <f>C119/C124</f>
        <v>#DIV/0!</v>
      </c>
      <c r="E119" s="413"/>
      <c r="F119" s="250" t="e">
        <f>C119/C125</f>
        <v>#DIV/0!</v>
      </c>
      <c r="G119" s="414"/>
      <c r="I119" s="171" t="s">
        <v>26</v>
      </c>
      <c r="J119" s="167">
        <f>COUNTIFS('1. All Data'!$AA$3:$AA$134,"",'1. All Data'!$M$3:$M$134,"Off Target")</f>
        <v>0</v>
      </c>
      <c r="K119" s="250" t="e">
        <f>J119/J124</f>
        <v>#DIV/0!</v>
      </c>
      <c r="L119" s="413"/>
      <c r="M119" s="250" t="e">
        <f>J119/J125</f>
        <v>#DIV/0!</v>
      </c>
      <c r="N119" s="414"/>
      <c r="P119" s="171" t="s">
        <v>26</v>
      </c>
      <c r="Q119" s="167">
        <f>COUNTIFS('1. All Data'!$AA$3:$AA$134,"Other",'1. All Data'!$R$3:$R$134,"Off Target")</f>
        <v>3</v>
      </c>
      <c r="R119" s="320">
        <f>Q119/Q124</f>
        <v>3.1914893617021274E-2</v>
      </c>
      <c r="S119" s="413"/>
      <c r="T119" s="320">
        <f>Q119/Q125</f>
        <v>3.3333333333333333E-2</v>
      </c>
      <c r="U119" s="414"/>
      <c r="W119" s="171" t="s">
        <v>26</v>
      </c>
      <c r="X119" s="167">
        <f>COUNTIFS('1. All Data'!$AA$3:$AA$134,"Other",'1. All Data'!$V$3:$V$134,"Off Target")</f>
        <v>4</v>
      </c>
      <c r="Y119" s="250">
        <f>X119/$X$34</f>
        <v>0.66666666666666663</v>
      </c>
      <c r="Z119" s="413"/>
      <c r="AA119" s="250">
        <f>X119/X125</f>
        <v>4.3010752688172046E-2</v>
      </c>
      <c r="AB119" s="414"/>
    </row>
    <row r="120" spans="2:28" ht="15.75">
      <c r="B120" s="172" t="s">
        <v>49</v>
      </c>
      <c r="C120" s="167">
        <f>COUNTIFS('1. All Data'!$AA$3:$AA$134,"",'1. All Data'!$H$3:$H$134,"Not yet due")</f>
        <v>0</v>
      </c>
      <c r="D120" s="173" t="e">
        <f>C120/C124</f>
        <v>#DIV/0!</v>
      </c>
      <c r="E120" s="173" t="e">
        <f>D120</f>
        <v>#DIV/0!</v>
      </c>
      <c r="F120" s="174"/>
      <c r="G120" s="58"/>
      <c r="I120" s="172" t="s">
        <v>49</v>
      </c>
      <c r="J120" s="167">
        <f>COUNTIFS('1. All Data'!$AA$3:$AA$134,"",'1. All Data'!$M$3:$M$134,"Not yet due")</f>
        <v>0</v>
      </c>
      <c r="K120" s="173" t="e">
        <f>J120/J124</f>
        <v>#DIV/0!</v>
      </c>
      <c r="L120" s="173" t="e">
        <f>K120</f>
        <v>#DIV/0!</v>
      </c>
      <c r="M120" s="174"/>
      <c r="N120" s="58"/>
      <c r="P120" s="172" t="s">
        <v>49</v>
      </c>
      <c r="Q120" s="167">
        <f>COUNTIFS('1. All Data'!$AA$3:$AA$134,"Other",'1. All Data'!$R$3:$R$134,"Not yet due")</f>
        <v>3</v>
      </c>
      <c r="R120" s="173">
        <f>Q120/Q124</f>
        <v>3.1914893617021274E-2</v>
      </c>
      <c r="S120" s="173">
        <f>R120</f>
        <v>3.1914893617021274E-2</v>
      </c>
      <c r="T120" s="174"/>
      <c r="U120" s="58"/>
      <c r="W120" s="172" t="s">
        <v>49</v>
      </c>
      <c r="X120" s="167">
        <f>COUNTIFS('1. All Data'!$AA$3:$AA$134,"Other",'1. All Data'!$V$3:$V$134,"Not yet due")</f>
        <v>0</v>
      </c>
      <c r="Y120" s="250">
        <f t="shared" ref="Y120:Y123" si="13">X120/$X$34</f>
        <v>0</v>
      </c>
      <c r="Z120" s="250">
        <f>Y120</f>
        <v>0</v>
      </c>
      <c r="AA120" s="174"/>
      <c r="AB120" s="58"/>
    </row>
    <row r="121" spans="2:28" ht="15.75">
      <c r="B121" s="172" t="s">
        <v>21</v>
      </c>
      <c r="C121" s="167">
        <f>COUNTIFS('1. All Data'!$AA$3:$AA$134,"",'1. All Data'!$H$3:$H$134,"update not provided")</f>
        <v>0</v>
      </c>
      <c r="D121" s="173" t="e">
        <f>C121/C124</f>
        <v>#DIV/0!</v>
      </c>
      <c r="E121" s="173" t="e">
        <f>D121</f>
        <v>#DIV/0!</v>
      </c>
      <c r="F121" s="174"/>
      <c r="G121" s="2"/>
      <c r="I121" s="172" t="s">
        <v>21</v>
      </c>
      <c r="J121" s="167">
        <f>COUNTIFS('1. All Data'!$AA$3:$AA$134,"",'1. All Data'!$M$3:$M$134,"update not provided")</f>
        <v>0</v>
      </c>
      <c r="K121" s="173" t="e">
        <f>J121/J124</f>
        <v>#DIV/0!</v>
      </c>
      <c r="L121" s="173" t="e">
        <f>K121</f>
        <v>#DIV/0!</v>
      </c>
      <c r="M121" s="174"/>
      <c r="N121" s="2"/>
      <c r="P121" s="172" t="s">
        <v>21</v>
      </c>
      <c r="Q121" s="167">
        <f>COUNTIFS('1. All Data'!$AA$3:$AA$134,"Other",'1. All Data'!$R$3:$R$134,"update not provided")</f>
        <v>0</v>
      </c>
      <c r="R121" s="173">
        <f>Q121/Q124</f>
        <v>0</v>
      </c>
      <c r="S121" s="173">
        <f>R121</f>
        <v>0</v>
      </c>
      <c r="T121" s="174"/>
      <c r="U121" s="2"/>
      <c r="W121" s="172" t="s">
        <v>21</v>
      </c>
      <c r="X121" s="167">
        <f>COUNTIFS('1. All Data'!$AA$3:$AA$134,"Other",'1. All Data'!$V$3:$V$134,"update not provided")</f>
        <v>0</v>
      </c>
      <c r="Y121" s="250">
        <f t="shared" si="13"/>
        <v>0</v>
      </c>
      <c r="Z121" s="250">
        <f>Y121</f>
        <v>0</v>
      </c>
      <c r="AA121" s="174"/>
      <c r="AB121" s="2"/>
    </row>
    <row r="122" spans="2:28" ht="15.75">
      <c r="B122" s="175" t="s">
        <v>29</v>
      </c>
      <c r="C122" s="167">
        <f>COUNTIFS('1. All Data'!$AA$3:$AA$134,"",'1. All Data'!$H$3:$H$134,"Deferred")</f>
        <v>0</v>
      </c>
      <c r="D122" s="176" t="e">
        <f>C122/C124</f>
        <v>#DIV/0!</v>
      </c>
      <c r="E122" s="176" t="e">
        <f>D122</f>
        <v>#DIV/0!</v>
      </c>
      <c r="F122" s="177"/>
      <c r="G122" s="58"/>
      <c r="I122" s="175" t="s">
        <v>29</v>
      </c>
      <c r="J122" s="167">
        <f>COUNTIFS('1. All Data'!$AA$3:$AA$134,"",'1. All Data'!$M$3:$M$134,"Deferred")</f>
        <v>0</v>
      </c>
      <c r="K122" s="176" t="e">
        <f>J122/J124</f>
        <v>#DIV/0!</v>
      </c>
      <c r="L122" s="176" t="e">
        <f>K122</f>
        <v>#DIV/0!</v>
      </c>
      <c r="M122" s="177"/>
      <c r="N122" s="58"/>
      <c r="P122" s="175" t="s">
        <v>29</v>
      </c>
      <c r="Q122" s="167">
        <f>COUNTIFS('1. All Data'!$AA$3:$AA$134,"Other",'1. All Data'!$R$3:$R$134,"Deferred")</f>
        <v>0</v>
      </c>
      <c r="R122" s="176">
        <f>Q122/Q124</f>
        <v>0</v>
      </c>
      <c r="S122" s="176">
        <f>R122</f>
        <v>0</v>
      </c>
      <c r="T122" s="177"/>
      <c r="U122" s="58"/>
      <c r="W122" s="175" t="s">
        <v>29</v>
      </c>
      <c r="X122" s="167">
        <f>COUNTIFS('1. All Data'!$AA$3:$AA$134,"Other",'1. All Data'!$V$3:$V$134,"Deferred")</f>
        <v>0</v>
      </c>
      <c r="Y122" s="250">
        <f t="shared" si="13"/>
        <v>0</v>
      </c>
      <c r="Z122" s="250">
        <f t="shared" ref="Z122:Z123" si="14">Y122</f>
        <v>0</v>
      </c>
      <c r="AA122" s="177"/>
      <c r="AB122" s="58"/>
    </row>
    <row r="123" spans="2:28" ht="15.75">
      <c r="B123" s="175" t="s">
        <v>30</v>
      </c>
      <c r="C123" s="167">
        <f>COUNTIFS('1. All Data'!$AA$3:$AA$134,"",'1. All Data'!$H$3:$H$134,"Deleted")</f>
        <v>0</v>
      </c>
      <c r="D123" s="176" t="e">
        <f>C123/C124</f>
        <v>#DIV/0!</v>
      </c>
      <c r="E123" s="176" t="e">
        <f>D123</f>
        <v>#DIV/0!</v>
      </c>
      <c r="F123" s="177"/>
      <c r="G123" s="3"/>
      <c r="I123" s="175" t="s">
        <v>30</v>
      </c>
      <c r="J123" s="167">
        <f>COUNTIFS('1. All Data'!$AA$3:$AA$134,"",'1. All Data'!$M$3:$M$134,"Deleted")</f>
        <v>0</v>
      </c>
      <c r="K123" s="176" t="e">
        <f>J123/J124</f>
        <v>#DIV/0!</v>
      </c>
      <c r="L123" s="176" t="e">
        <f>K123</f>
        <v>#DIV/0!</v>
      </c>
      <c r="M123" s="177"/>
      <c r="N123" s="3"/>
      <c r="P123" s="175" t="s">
        <v>30</v>
      </c>
      <c r="Q123" s="167">
        <f>COUNTIFS('1. All Data'!$AA$3:$AA$134,"Other",'1. All Data'!$R$3:$R$134,"Deleted")</f>
        <v>1</v>
      </c>
      <c r="R123" s="176">
        <f>Q123/Q124</f>
        <v>1.0638297872340425E-2</v>
      </c>
      <c r="S123" s="176">
        <f>R123</f>
        <v>1.0638297872340425E-2</v>
      </c>
      <c r="T123" s="177"/>
      <c r="U123" s="3"/>
      <c r="W123" s="175" t="s">
        <v>30</v>
      </c>
      <c r="X123" s="167">
        <f>COUNTIFS('1. All Data'!$AA$3:$AA$134,"Other",'1. All Data'!$V$3:$V$134,"Deleted")</f>
        <v>1</v>
      </c>
      <c r="Y123" s="250">
        <f t="shared" si="13"/>
        <v>0.16666666666666666</v>
      </c>
      <c r="Z123" s="250">
        <f t="shared" si="14"/>
        <v>0.16666666666666666</v>
      </c>
      <c r="AA123" s="177"/>
    </row>
    <row r="124" spans="2:28" ht="15.75">
      <c r="B124" s="193" t="s">
        <v>51</v>
      </c>
      <c r="C124" s="179">
        <f>SUM(C113:C123)</f>
        <v>0</v>
      </c>
      <c r="D124" s="177"/>
      <c r="E124" s="177"/>
      <c r="F124" s="58"/>
      <c r="G124" s="58"/>
      <c r="I124" s="193" t="s">
        <v>51</v>
      </c>
      <c r="J124" s="179">
        <f>SUM(J113:J123)</f>
        <v>0</v>
      </c>
      <c r="K124" s="177"/>
      <c r="L124" s="177"/>
      <c r="M124" s="58"/>
      <c r="N124" s="58"/>
      <c r="P124" s="193" t="s">
        <v>51</v>
      </c>
      <c r="Q124" s="179">
        <f>SUM(Q113:Q123)</f>
        <v>94</v>
      </c>
      <c r="R124" s="177"/>
      <c r="S124" s="177"/>
      <c r="T124" s="58"/>
      <c r="U124" s="58"/>
      <c r="W124" s="178" t="s">
        <v>51</v>
      </c>
      <c r="X124" s="179">
        <f>SUM(X113:X123)</f>
        <v>94</v>
      </c>
      <c r="Y124" s="177"/>
      <c r="Z124" s="177"/>
      <c r="AA124" s="58"/>
      <c r="AB124" s="58"/>
    </row>
    <row r="125" spans="2:28" ht="15.75">
      <c r="B125" s="193" t="s">
        <v>52</v>
      </c>
      <c r="C125" s="179">
        <f>C124-C123-C122-C121-C120</f>
        <v>0</v>
      </c>
      <c r="D125" s="58"/>
      <c r="E125" s="58"/>
      <c r="F125" s="58"/>
      <c r="G125" s="58"/>
      <c r="I125" s="193" t="s">
        <v>52</v>
      </c>
      <c r="J125" s="179">
        <f>J124-J123-J122-J121-J120</f>
        <v>0</v>
      </c>
      <c r="K125" s="58"/>
      <c r="L125" s="58"/>
      <c r="M125" s="58"/>
      <c r="N125" s="58"/>
      <c r="P125" s="193" t="s">
        <v>52</v>
      </c>
      <c r="Q125" s="179">
        <f>Q124-Q123-Q122-Q121-Q120</f>
        <v>90</v>
      </c>
      <c r="R125" s="58"/>
      <c r="S125" s="58"/>
      <c r="T125" s="58"/>
      <c r="U125" s="58"/>
      <c r="W125" s="178" t="s">
        <v>52</v>
      </c>
      <c r="X125" s="179">
        <f>X124-X123-X122-X121-X120</f>
        <v>93</v>
      </c>
      <c r="Y125" s="58"/>
      <c r="Z125" s="58"/>
      <c r="AA125" s="58"/>
      <c r="AB125" s="58"/>
    </row>
  </sheetData>
  <mergeCells count="254">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M43:M45"/>
    <mergeCell ref="N43:N45"/>
    <mergeCell ref="P43:P45"/>
    <mergeCell ref="Q43:Q45"/>
    <mergeCell ref="B61:B63"/>
    <mergeCell ref="C61:C63"/>
    <mergeCell ref="D61:D63"/>
    <mergeCell ref="E61:E63"/>
    <mergeCell ref="F61:F63"/>
    <mergeCell ref="G61:G63"/>
    <mergeCell ref="M61:M63"/>
    <mergeCell ref="N61:N63"/>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K7:K9"/>
    <mergeCell ref="L7:L9"/>
    <mergeCell ref="M7:M9"/>
    <mergeCell ref="N7:N9"/>
    <mergeCell ref="P7:P9"/>
    <mergeCell ref="Q7:Q9"/>
    <mergeCell ref="B25:B27"/>
    <mergeCell ref="C25:C27"/>
    <mergeCell ref="D25:D27"/>
    <mergeCell ref="E25:E27"/>
    <mergeCell ref="F25:F27"/>
    <mergeCell ref="G25:G27"/>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E77:E78"/>
    <mergeCell ref="G77:G78"/>
    <mergeCell ref="B79:B81"/>
    <mergeCell ref="C79:C81"/>
    <mergeCell ref="D79:D81"/>
    <mergeCell ref="E79:E81"/>
    <mergeCell ref="F79:F81"/>
    <mergeCell ref="G79:G81"/>
    <mergeCell ref="E82:E83"/>
    <mergeCell ref="G82:G83"/>
    <mergeCell ref="E95:E96"/>
    <mergeCell ref="G95:G96"/>
    <mergeCell ref="B97:B99"/>
    <mergeCell ref="C97:C99"/>
    <mergeCell ref="D97:D99"/>
    <mergeCell ref="E97:E99"/>
    <mergeCell ref="F97:F99"/>
    <mergeCell ref="G97:G99"/>
    <mergeCell ref="E100:E101"/>
    <mergeCell ref="G100:G101"/>
    <mergeCell ref="E113:E114"/>
    <mergeCell ref="G113:G114"/>
    <mergeCell ref="B115:B117"/>
    <mergeCell ref="C115:C117"/>
    <mergeCell ref="D115:D117"/>
    <mergeCell ref="E115:E117"/>
    <mergeCell ref="F115:F117"/>
    <mergeCell ref="G115:G117"/>
    <mergeCell ref="E118:E119"/>
    <mergeCell ref="G118:G119"/>
    <mergeCell ref="L77:L78"/>
    <mergeCell ref="N77:N78"/>
    <mergeCell ref="S77:S78"/>
    <mergeCell ref="U77:U78"/>
    <mergeCell ref="Z77:Z78"/>
    <mergeCell ref="AB77:AB78"/>
    <mergeCell ref="I79:I81"/>
    <mergeCell ref="J79:J81"/>
    <mergeCell ref="K79:K81"/>
    <mergeCell ref="L79:L81"/>
    <mergeCell ref="M79:M81"/>
    <mergeCell ref="N79:N81"/>
    <mergeCell ref="P79:P81"/>
    <mergeCell ref="Q79:Q81"/>
    <mergeCell ref="R79:R81"/>
    <mergeCell ref="S79:S81"/>
    <mergeCell ref="T79:T81"/>
    <mergeCell ref="U79:U81"/>
    <mergeCell ref="Z79:Z81"/>
    <mergeCell ref="AB79:AB81"/>
    <mergeCell ref="L82:L83"/>
    <mergeCell ref="N82:N83"/>
    <mergeCell ref="S82:S83"/>
    <mergeCell ref="U82:U83"/>
    <mergeCell ref="Z82:Z83"/>
    <mergeCell ref="AB82:AB83"/>
    <mergeCell ref="L95:L96"/>
    <mergeCell ref="N95:N96"/>
    <mergeCell ref="S95:S96"/>
    <mergeCell ref="U95:U96"/>
    <mergeCell ref="Z95:Z96"/>
    <mergeCell ref="AB95:AB96"/>
    <mergeCell ref="I97:I99"/>
    <mergeCell ref="J97:J99"/>
    <mergeCell ref="K97:K99"/>
    <mergeCell ref="L97:L99"/>
    <mergeCell ref="M97:M99"/>
    <mergeCell ref="N97:N99"/>
    <mergeCell ref="P97:P99"/>
    <mergeCell ref="Q97:Q99"/>
    <mergeCell ref="R97:R99"/>
    <mergeCell ref="S97:S99"/>
    <mergeCell ref="T97:T99"/>
    <mergeCell ref="U97:U99"/>
    <mergeCell ref="Z97:Z99"/>
    <mergeCell ref="AB97:AB99"/>
    <mergeCell ref="L100:L101"/>
    <mergeCell ref="N100:N101"/>
    <mergeCell ref="S100:S101"/>
    <mergeCell ref="U100:U101"/>
    <mergeCell ref="Z100:Z101"/>
    <mergeCell ref="AB100:AB101"/>
    <mergeCell ref="I115:I117"/>
    <mergeCell ref="J115:J117"/>
    <mergeCell ref="K115:K117"/>
    <mergeCell ref="L115:L117"/>
    <mergeCell ref="M115:M117"/>
    <mergeCell ref="N115:N117"/>
    <mergeCell ref="P115:P117"/>
    <mergeCell ref="Q115:Q117"/>
    <mergeCell ref="R115:R117"/>
    <mergeCell ref="L118:L119"/>
    <mergeCell ref="N118:N119"/>
    <mergeCell ref="S118:S119"/>
    <mergeCell ref="U118:U119"/>
    <mergeCell ref="Z118:Z119"/>
    <mergeCell ref="AB118:AB119"/>
    <mergeCell ref="L113:L114"/>
    <mergeCell ref="N113:N114"/>
    <mergeCell ref="S113:S114"/>
    <mergeCell ref="U113:U114"/>
    <mergeCell ref="Z113:Z114"/>
    <mergeCell ref="AB113:AB114"/>
    <mergeCell ref="S115:S117"/>
    <mergeCell ref="T115:T117"/>
    <mergeCell ref="U115:U117"/>
    <mergeCell ref="Z115:Z117"/>
    <mergeCell ref="AB115:AB117"/>
  </mergeCells>
  <pageMargins left="0.25" right="0.25" top="0.75" bottom="0.75" header="0.3" footer="0.3"/>
  <pageSetup paperSize="8" fitToHeight="0" orientation="portrait" verticalDpi="0" r:id="rId1"/>
  <rowBreaks count="2" manualBreakCount="2">
    <brk id="53" max="6" man="1"/>
    <brk id="108" max="6" man="1"/>
  </rowBreaks>
  <ignoredErrors>
    <ignoredError sqref="F10 F7 F5"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L88"/>
  <sheetViews>
    <sheetView workbookViewId="0">
      <selection activeCell="K20" sqref="K20"/>
    </sheetView>
  </sheetViews>
  <sheetFormatPr defaultColWidth="9.28515625" defaultRowHeight="15"/>
  <cols>
    <col min="1" max="1" width="3.42578125" style="8" customWidth="1"/>
    <col min="2" max="9" width="9.28515625" style="8"/>
    <col min="10" max="10" width="3.42578125" style="8" customWidth="1"/>
    <col min="11" max="11" width="9.28515625" style="9"/>
    <col min="12" max="18" width="9.28515625" style="8"/>
    <col min="19" max="19" width="3.42578125" style="8" customWidth="1"/>
    <col min="20" max="27" width="9.28515625" style="8" customWidth="1"/>
    <col min="28" max="28" width="3.42578125" style="8" customWidth="1"/>
    <col min="29" max="36" width="9.28515625" style="8" customWidth="1"/>
    <col min="37" max="37" width="3.42578125" style="8" customWidth="1"/>
    <col min="38" max="47" width="9.28515625" style="8" customWidth="1"/>
    <col min="48" max="50" width="0" style="8" hidden="1" customWidth="1"/>
    <col min="51" max="51" width="9.28515625" style="8"/>
    <col min="52" max="55" width="10" style="11" customWidth="1"/>
    <col min="56" max="16384" width="9.28515625" style="8"/>
  </cols>
  <sheetData>
    <row r="1" spans="2:64" s="6" customFormat="1" ht="35.25">
      <c r="B1" s="5" t="s">
        <v>53</v>
      </c>
      <c r="M1" s="434"/>
      <c r="N1" s="434"/>
      <c r="O1" s="434"/>
      <c r="P1" s="434"/>
      <c r="Q1" s="434"/>
      <c r="R1" s="434"/>
      <c r="S1" s="434"/>
      <c r="T1" s="434"/>
      <c r="U1" s="434"/>
      <c r="V1" s="434"/>
      <c r="W1" s="434"/>
      <c r="X1" s="434"/>
      <c r="Y1" s="434"/>
      <c r="Z1" s="434"/>
      <c r="AY1" s="434"/>
      <c r="AZ1" s="434"/>
      <c r="BA1" s="434"/>
      <c r="BB1" s="434"/>
      <c r="BC1" s="434"/>
      <c r="BD1" s="434"/>
      <c r="BE1" s="434"/>
      <c r="BF1" s="434"/>
      <c r="BG1" s="434"/>
      <c r="BH1" s="434"/>
      <c r="BI1" s="434"/>
      <c r="BJ1" s="434"/>
      <c r="BK1" s="434"/>
      <c r="BL1" s="434"/>
    </row>
    <row r="2" spans="2:64" s="6" customFormat="1" ht="35.25" hidden="1">
      <c r="B2" s="7"/>
      <c r="M2" s="434"/>
      <c r="N2" s="434"/>
      <c r="O2" s="434"/>
      <c r="P2" s="434"/>
      <c r="Q2" s="434"/>
      <c r="R2" s="434"/>
      <c r="S2" s="434"/>
      <c r="T2" s="434"/>
      <c r="U2" s="434"/>
      <c r="V2" s="434"/>
      <c r="W2" s="434"/>
      <c r="X2" s="434"/>
      <c r="Y2" s="434"/>
      <c r="Z2" s="434"/>
      <c r="AY2" s="434"/>
      <c r="AZ2" s="434"/>
      <c r="BA2" s="434"/>
      <c r="BB2" s="434"/>
      <c r="BC2" s="434"/>
      <c r="BD2" s="434"/>
      <c r="BE2" s="434"/>
      <c r="BF2" s="434"/>
      <c r="BG2" s="434"/>
      <c r="BH2" s="434"/>
      <c r="BI2" s="434"/>
      <c r="BJ2" s="434"/>
      <c r="BK2" s="434"/>
      <c r="BL2" s="434"/>
    </row>
    <row r="3" spans="2:64" s="6" customFormat="1" ht="35.25" hidden="1">
      <c r="M3" s="434"/>
      <c r="N3" s="434"/>
      <c r="O3" s="434"/>
      <c r="P3" s="434"/>
      <c r="Q3" s="434"/>
      <c r="R3" s="434"/>
      <c r="S3" s="434"/>
      <c r="T3" s="434"/>
      <c r="U3" s="434"/>
      <c r="V3" s="434"/>
      <c r="W3" s="434"/>
      <c r="X3" s="434"/>
      <c r="Y3" s="434"/>
      <c r="Z3" s="434"/>
      <c r="AY3" s="434"/>
      <c r="AZ3" s="434"/>
      <c r="BA3" s="434"/>
      <c r="BB3" s="434"/>
      <c r="BC3" s="434"/>
      <c r="BD3" s="434"/>
      <c r="BE3" s="434"/>
      <c r="BF3" s="434"/>
      <c r="BG3" s="434"/>
      <c r="BH3" s="434"/>
      <c r="BI3" s="434"/>
      <c r="BJ3" s="434"/>
      <c r="BK3" s="434"/>
      <c r="BL3" s="434"/>
    </row>
    <row r="4" spans="2:64">
      <c r="N4" s="10"/>
      <c r="W4" s="10"/>
      <c r="AF4" s="10"/>
      <c r="AO4" s="10"/>
    </row>
    <row r="5" spans="2:64">
      <c r="AY5" s="16" t="s">
        <v>54</v>
      </c>
      <c r="AZ5" s="17"/>
      <c r="BA5" s="17"/>
      <c r="BB5" s="17"/>
      <c r="BC5" s="17"/>
      <c r="BD5" s="9"/>
    </row>
    <row r="6" spans="2:64">
      <c r="AY6" s="18"/>
      <c r="AZ6" s="19" t="s">
        <v>13</v>
      </c>
      <c r="BA6" s="19" t="s">
        <v>14</v>
      </c>
      <c r="BB6" s="19" t="s">
        <v>15</v>
      </c>
      <c r="BC6" s="19" t="s">
        <v>12</v>
      </c>
      <c r="BD6" s="9"/>
    </row>
    <row r="7" spans="2:64">
      <c r="AY7" s="20" t="s">
        <v>55</v>
      </c>
      <c r="AZ7" s="21">
        <f>'2a. % By Priority'!G5</f>
        <v>0.93258426966292141</v>
      </c>
      <c r="BA7" s="21">
        <f>'2a. % By Priority'!N5</f>
        <v>0.94214876033057848</v>
      </c>
      <c r="BB7" s="21">
        <f>'2a. % By Priority'!U5</f>
        <v>0.93650793650793651</v>
      </c>
      <c r="BC7" s="21">
        <f>'2a. % By Priority'!AB5</f>
        <v>0.93846153846153846</v>
      </c>
      <c r="BD7" s="9"/>
    </row>
    <row r="8" spans="2:64">
      <c r="L8" s="13"/>
      <c r="M8" s="13"/>
      <c r="AY8" s="20" t="s">
        <v>56</v>
      </c>
      <c r="AZ8" s="21">
        <f>'2a. % By Priority'!G7</f>
        <v>6.741573033707865E-2</v>
      </c>
      <c r="BA8" s="21">
        <f>'2a. % By Priority'!N7</f>
        <v>1.6528925619834711E-2</v>
      </c>
      <c r="BB8" s="21">
        <f>'2a. % By Priority'!U7</f>
        <v>2.3809523809523808E-2</v>
      </c>
      <c r="BC8" s="21">
        <f>'2a. % By Priority'!AB7</f>
        <v>1.5384615384615385E-2</v>
      </c>
      <c r="BD8" s="9"/>
    </row>
    <row r="9" spans="2:64">
      <c r="L9" s="13"/>
      <c r="M9" s="13"/>
      <c r="AY9" s="20" t="s">
        <v>57</v>
      </c>
      <c r="AZ9" s="21">
        <f>'2a. % By Priority'!G10</f>
        <v>0</v>
      </c>
      <c r="BA9" s="21">
        <f>'2a. % By Priority'!N10</f>
        <v>4.1322314049586778E-2</v>
      </c>
      <c r="BB9" s="21">
        <f>'2a. % By Priority'!U10</f>
        <v>3.968253968253968E-2</v>
      </c>
      <c r="BC9" s="21">
        <f>'2a. % By Priority'!AB10</f>
        <v>4.6153846153846156E-2</v>
      </c>
      <c r="BD9" s="9"/>
    </row>
    <row r="10" spans="2:64">
      <c r="L10" s="13"/>
      <c r="M10" s="13"/>
      <c r="AY10" s="18"/>
      <c r="AZ10" s="22"/>
      <c r="BA10" s="22"/>
      <c r="BB10" s="22"/>
      <c r="BC10" s="22"/>
      <c r="BD10" s="9"/>
    </row>
    <row r="11" spans="2:64">
      <c r="AY11" s="23"/>
      <c r="AZ11" s="24"/>
      <c r="BA11" s="24"/>
      <c r="BB11" s="25"/>
      <c r="BC11" s="25"/>
      <c r="BD11" s="9"/>
    </row>
    <row r="12" spans="2:64">
      <c r="AY12" s="23"/>
      <c r="AZ12" s="24"/>
      <c r="BA12" s="24"/>
      <c r="BB12" s="25"/>
      <c r="BC12" s="25"/>
      <c r="BD12" s="9"/>
    </row>
    <row r="13" spans="2:64">
      <c r="AY13" s="23"/>
      <c r="AZ13" s="24"/>
      <c r="BA13" s="24"/>
      <c r="BB13" s="25"/>
      <c r="BC13" s="25"/>
      <c r="BD13" s="9"/>
    </row>
    <row r="14" spans="2:64">
      <c r="AY14" s="26"/>
      <c r="AZ14" s="17"/>
      <c r="BA14" s="17"/>
      <c r="BB14" s="17"/>
      <c r="BC14" s="17"/>
      <c r="BD14" s="9"/>
    </row>
    <row r="15" spans="2:64">
      <c r="AY15" s="26"/>
      <c r="AZ15" s="17"/>
      <c r="BA15" s="17"/>
      <c r="BB15" s="17"/>
      <c r="BC15" s="17"/>
      <c r="BD15" s="9"/>
    </row>
    <row r="16" spans="2:64">
      <c r="AY16" s="26"/>
      <c r="AZ16" s="17"/>
      <c r="BA16" s="17"/>
      <c r="BB16" s="17"/>
      <c r="BC16" s="17"/>
      <c r="BD16" s="9"/>
    </row>
    <row r="17" spans="12:56">
      <c r="AY17" s="26"/>
      <c r="AZ17" s="17"/>
      <c r="BA17" s="17"/>
      <c r="BB17" s="17"/>
      <c r="BC17" s="17"/>
      <c r="BD17" s="9"/>
    </row>
    <row r="18" spans="12:56">
      <c r="AY18" s="26"/>
      <c r="AZ18" s="17"/>
      <c r="BA18" s="17"/>
      <c r="BB18" s="17"/>
      <c r="BC18" s="17"/>
      <c r="BD18" s="9"/>
    </row>
    <row r="19" spans="12:56">
      <c r="AY19" s="26"/>
      <c r="AZ19" s="17"/>
      <c r="BA19" s="17"/>
      <c r="BB19" s="17"/>
      <c r="BC19" s="17"/>
      <c r="BD19" s="9"/>
    </row>
    <row r="20" spans="12:56">
      <c r="N20" s="10"/>
      <c r="W20" s="10"/>
      <c r="AF20" s="10"/>
      <c r="AO20" s="10"/>
      <c r="AY20" s="26"/>
      <c r="AZ20" s="17"/>
      <c r="BA20" s="17"/>
      <c r="BB20" s="17"/>
      <c r="BC20" s="17"/>
      <c r="BD20" s="9"/>
    </row>
    <row r="21" spans="12:56">
      <c r="AY21" s="16" t="s">
        <v>411</v>
      </c>
      <c r="AZ21" s="17"/>
      <c r="BA21" s="17"/>
      <c r="BB21" s="17"/>
      <c r="BC21" s="17"/>
      <c r="BD21" s="9"/>
    </row>
    <row r="22" spans="12:56">
      <c r="AY22" s="18"/>
      <c r="AZ22" s="19" t="s">
        <v>13</v>
      </c>
      <c r="BA22" s="19" t="s">
        <v>14</v>
      </c>
      <c r="BB22" s="19" t="s">
        <v>15</v>
      </c>
      <c r="BC22" s="19" t="s">
        <v>12</v>
      </c>
      <c r="BD22" s="9"/>
    </row>
    <row r="23" spans="12:56">
      <c r="AY23" s="20" t="s">
        <v>55</v>
      </c>
      <c r="AZ23" s="21">
        <f>'2a. % By Priority'!G23</f>
        <v>1</v>
      </c>
      <c r="BA23" s="21">
        <f>'2a. % By Priority'!N23</f>
        <v>1</v>
      </c>
      <c r="BB23" s="21">
        <f>'2a. % By Priority'!U23</f>
        <v>1</v>
      </c>
      <c r="BC23" s="21">
        <f>'2a. % By Priority'!AB23</f>
        <v>1</v>
      </c>
      <c r="BD23" s="9"/>
    </row>
    <row r="24" spans="12:56">
      <c r="L24" s="13"/>
      <c r="M24" s="13"/>
      <c r="AY24" s="20" t="s">
        <v>56</v>
      </c>
      <c r="AZ24" s="21">
        <f>'2a. % By Priority'!G25</f>
        <v>0</v>
      </c>
      <c r="BA24" s="21">
        <f>'2a. % By Priority'!N25</f>
        <v>0</v>
      </c>
      <c r="BB24" s="21">
        <f>'2a. % By Priority'!U25</f>
        <v>0</v>
      </c>
      <c r="BC24" s="21">
        <f>'2a. % By Priority'!AB25</f>
        <v>0</v>
      </c>
      <c r="BD24" s="9"/>
    </row>
    <row r="25" spans="12:56">
      <c r="L25" s="13"/>
      <c r="M25" s="13"/>
      <c r="AY25" s="20" t="s">
        <v>57</v>
      </c>
      <c r="AZ25" s="21">
        <f>'2a. % By Priority'!G28</f>
        <v>0</v>
      </c>
      <c r="BA25" s="21">
        <f>'2a. % By Priority'!N28</f>
        <v>0</v>
      </c>
      <c r="BB25" s="21">
        <f>'2a. % By Priority'!U28</f>
        <v>0</v>
      </c>
      <c r="BC25" s="21">
        <f>'2a. % By Priority'!AB28</f>
        <v>0</v>
      </c>
      <c r="BD25" s="9"/>
    </row>
    <row r="26" spans="12:56">
      <c r="L26" s="13"/>
      <c r="M26" s="13"/>
      <c r="AY26" s="26"/>
      <c r="AZ26" s="17"/>
      <c r="BA26" s="17"/>
      <c r="BB26" s="17"/>
      <c r="BC26" s="17"/>
      <c r="BD26" s="9"/>
    </row>
    <row r="27" spans="12:56">
      <c r="AY27" s="23"/>
      <c r="AZ27" s="17"/>
      <c r="BA27" s="17"/>
      <c r="BB27" s="17"/>
      <c r="BC27" s="17"/>
      <c r="BD27" s="9"/>
    </row>
    <row r="28" spans="12:56">
      <c r="AY28" s="23"/>
      <c r="AZ28" s="17"/>
      <c r="BA28" s="17"/>
      <c r="BB28" s="17"/>
      <c r="BC28" s="17"/>
      <c r="BD28" s="9"/>
    </row>
    <row r="29" spans="12:56">
      <c r="AY29" s="23"/>
      <c r="AZ29" s="17"/>
      <c r="BA29" s="17"/>
      <c r="BB29" s="17"/>
      <c r="BC29" s="17"/>
      <c r="BD29" s="9"/>
    </row>
    <row r="30" spans="12:56">
      <c r="AY30" s="26"/>
      <c r="AZ30" s="17"/>
      <c r="BA30" s="17"/>
      <c r="BB30" s="17"/>
      <c r="BC30" s="17"/>
      <c r="BD30" s="9"/>
    </row>
    <row r="31" spans="12:56">
      <c r="AY31" s="26"/>
      <c r="AZ31" s="17"/>
      <c r="BA31" s="17"/>
      <c r="BB31" s="17"/>
      <c r="BC31" s="17"/>
      <c r="BD31" s="9"/>
    </row>
    <row r="32" spans="12:56">
      <c r="AY32" s="26"/>
      <c r="AZ32" s="17"/>
      <c r="BA32" s="17"/>
      <c r="BB32" s="17"/>
      <c r="BC32" s="17"/>
      <c r="BD32" s="9"/>
    </row>
    <row r="33" spans="11:56">
      <c r="AY33" s="26"/>
      <c r="AZ33" s="17"/>
      <c r="BA33" s="17"/>
      <c r="BB33" s="17"/>
      <c r="BC33" s="17"/>
      <c r="BD33" s="9"/>
    </row>
    <row r="34" spans="11:56">
      <c r="AY34" s="26"/>
      <c r="AZ34" s="17"/>
      <c r="BA34" s="17"/>
      <c r="BB34" s="17"/>
      <c r="BC34" s="17"/>
      <c r="BD34" s="9"/>
    </row>
    <row r="35" spans="11:56">
      <c r="AY35" s="26"/>
      <c r="AZ35" s="17"/>
      <c r="BA35" s="17"/>
      <c r="BB35" s="17"/>
      <c r="BC35" s="17"/>
      <c r="BD35" s="9"/>
    </row>
    <row r="36" spans="11:56">
      <c r="N36" s="10"/>
      <c r="W36" s="10"/>
      <c r="AF36" s="10"/>
      <c r="AO36" s="10"/>
      <c r="AY36" s="26"/>
      <c r="AZ36" s="17"/>
      <c r="BA36" s="17"/>
      <c r="BB36" s="17"/>
      <c r="BC36" s="17"/>
      <c r="BD36" s="9"/>
    </row>
    <row r="37" spans="11:56">
      <c r="AY37" s="16" t="s">
        <v>404</v>
      </c>
      <c r="AZ37" s="27"/>
      <c r="BA37" s="27"/>
      <c r="BB37" s="27"/>
      <c r="BC37" s="27"/>
      <c r="BD37" s="15"/>
    </row>
    <row r="38" spans="11:56">
      <c r="AY38" s="28"/>
      <c r="AZ38" s="19" t="s">
        <v>13</v>
      </c>
      <c r="BA38" s="19" t="s">
        <v>14</v>
      </c>
      <c r="BB38" s="19" t="s">
        <v>15</v>
      </c>
      <c r="BC38" s="19" t="s">
        <v>12</v>
      </c>
      <c r="BD38" s="15"/>
    </row>
    <row r="39" spans="11:56">
      <c r="AY39" s="20" t="s">
        <v>55</v>
      </c>
      <c r="AZ39" s="21">
        <f>'2a. % By Priority'!G41</f>
        <v>1</v>
      </c>
      <c r="BA39" s="21">
        <f>'2a. % By Priority'!N41</f>
        <v>1</v>
      </c>
      <c r="BB39" s="21">
        <f>'2a. % By Priority'!U41</f>
        <v>1</v>
      </c>
      <c r="BC39" s="21">
        <f>'2a. % By Priority'!AB41</f>
        <v>1</v>
      </c>
      <c r="BD39" s="15"/>
    </row>
    <row r="40" spans="11:56">
      <c r="K40" s="13"/>
      <c r="L40" s="13"/>
      <c r="AY40" s="20" t="s">
        <v>56</v>
      </c>
      <c r="AZ40" s="21">
        <f>'2a. % By Priority'!G43</f>
        <v>0</v>
      </c>
      <c r="BA40" s="21">
        <f>'2a. % By Priority'!N43</f>
        <v>0</v>
      </c>
      <c r="BB40" s="21">
        <f>'2a. % By Priority'!U43</f>
        <v>0</v>
      </c>
      <c r="BC40" s="21">
        <f>'2a. % By Priority'!AB43</f>
        <v>0</v>
      </c>
      <c r="BD40" s="15"/>
    </row>
    <row r="41" spans="11:56">
      <c r="K41" s="13"/>
      <c r="L41" s="13"/>
      <c r="AY41" s="20" t="s">
        <v>57</v>
      </c>
      <c r="AZ41" s="21">
        <f>'2a. % By Priority'!G46</f>
        <v>0</v>
      </c>
      <c r="BA41" s="21">
        <f>'2a. % By Priority'!N46</f>
        <v>0</v>
      </c>
      <c r="BB41" s="21">
        <f>'2a. % By Priority'!U46</f>
        <v>0</v>
      </c>
      <c r="BC41" s="21">
        <f>'2a. % By Priority'!AB46</f>
        <v>0</v>
      </c>
      <c r="BD41" s="15"/>
    </row>
    <row r="42" spans="11:56">
      <c r="K42" s="13"/>
      <c r="L42" s="13"/>
      <c r="AY42" s="26"/>
      <c r="AZ42" s="17"/>
      <c r="BA42" s="17"/>
      <c r="BB42" s="17"/>
      <c r="BC42" s="17"/>
      <c r="BD42" s="9"/>
    </row>
    <row r="43" spans="11:56">
      <c r="AY43" s="23"/>
      <c r="AZ43" s="17"/>
      <c r="BA43" s="17"/>
      <c r="BB43" s="17"/>
      <c r="BC43" s="17"/>
      <c r="BD43" s="9"/>
    </row>
    <row r="44" spans="11:56">
      <c r="AY44" s="23"/>
      <c r="AZ44" s="17"/>
      <c r="BA44" s="17"/>
      <c r="BB44" s="17"/>
      <c r="BC44" s="17"/>
      <c r="BD44" s="9"/>
    </row>
    <row r="45" spans="11:56">
      <c r="AY45" s="23"/>
      <c r="AZ45" s="17"/>
      <c r="BA45" s="17"/>
      <c r="BB45" s="17"/>
      <c r="BC45" s="17"/>
      <c r="BD45" s="9"/>
    </row>
    <row r="46" spans="11:56">
      <c r="AY46" s="26"/>
      <c r="AZ46" s="17"/>
      <c r="BA46" s="17"/>
      <c r="BB46" s="17"/>
      <c r="BC46" s="17"/>
      <c r="BD46" s="9"/>
    </row>
    <row r="47" spans="11:56">
      <c r="AY47" s="26"/>
      <c r="AZ47" s="17"/>
      <c r="BA47" s="17"/>
      <c r="BB47" s="17"/>
      <c r="BC47" s="17"/>
      <c r="BD47" s="9"/>
    </row>
    <row r="48" spans="11:56">
      <c r="AY48" s="26"/>
      <c r="AZ48" s="17"/>
      <c r="BA48" s="17"/>
      <c r="BB48" s="17"/>
      <c r="BC48" s="17"/>
      <c r="BD48" s="9"/>
    </row>
    <row r="49" spans="12:56">
      <c r="AY49" s="26"/>
      <c r="AZ49" s="17"/>
      <c r="BA49" s="17"/>
      <c r="BB49" s="17"/>
      <c r="BC49" s="17"/>
      <c r="BD49" s="9"/>
    </row>
    <row r="50" spans="12:56">
      <c r="AY50" s="26"/>
      <c r="AZ50" s="17"/>
      <c r="BA50" s="17"/>
      <c r="BB50" s="17"/>
      <c r="BC50" s="17"/>
      <c r="BD50" s="9"/>
    </row>
    <row r="51" spans="12:56">
      <c r="AY51" s="26"/>
      <c r="AZ51" s="17"/>
      <c r="BA51" s="17"/>
      <c r="BB51" s="17"/>
      <c r="BC51" s="17"/>
      <c r="BD51" s="9"/>
    </row>
    <row r="52" spans="12:56">
      <c r="N52" s="10"/>
      <c r="W52" s="10"/>
      <c r="AF52" s="10"/>
      <c r="AP52" s="10"/>
      <c r="AY52" s="26"/>
      <c r="AZ52" s="17"/>
      <c r="BA52" s="17"/>
      <c r="BB52" s="17"/>
      <c r="BC52" s="17"/>
      <c r="BD52" s="9"/>
    </row>
    <row r="53" spans="12:56">
      <c r="AY53" s="16" t="s">
        <v>423</v>
      </c>
      <c r="AZ53" s="27"/>
      <c r="BA53" s="27"/>
      <c r="BB53" s="27"/>
      <c r="BC53" s="27"/>
      <c r="BD53" s="9"/>
    </row>
    <row r="54" spans="12:56">
      <c r="AY54" s="28"/>
      <c r="AZ54" s="19" t="s">
        <v>13</v>
      </c>
      <c r="BA54" s="19" t="s">
        <v>14</v>
      </c>
      <c r="BB54" s="19" t="s">
        <v>15</v>
      </c>
      <c r="BC54" s="19" t="s">
        <v>12</v>
      </c>
      <c r="BD54" s="9"/>
    </row>
    <row r="55" spans="12:56">
      <c r="AY55" s="20" t="s">
        <v>55</v>
      </c>
      <c r="AZ55" s="21">
        <f>'2a. % By Priority'!G59</f>
        <v>0.8571428571428571</v>
      </c>
      <c r="BA55" s="21">
        <f>'2a. % By Priority'!N59</f>
        <v>1</v>
      </c>
      <c r="BB55" s="21">
        <f>'2a. % By Priority'!U59</f>
        <v>1</v>
      </c>
      <c r="BC55" s="21">
        <f>'2a. % By Priority'!AB59</f>
        <v>0.90909090909090906</v>
      </c>
      <c r="BD55" s="9"/>
    </row>
    <row r="56" spans="12:56">
      <c r="L56" s="13"/>
      <c r="M56" s="13"/>
      <c r="AY56" s="20" t="s">
        <v>56</v>
      </c>
      <c r="AZ56" s="21">
        <f>'2a. % By Priority'!G61</f>
        <v>0.14285714285714285</v>
      </c>
      <c r="BA56" s="21">
        <f>'2a. % By Priority'!N61</f>
        <v>0</v>
      </c>
      <c r="BB56" s="21">
        <f>'2a. % By Priority'!U61</f>
        <v>0</v>
      </c>
      <c r="BC56" s="21">
        <f>'2a. % By Priority'!AB61</f>
        <v>0</v>
      </c>
      <c r="BD56" s="9"/>
    </row>
    <row r="57" spans="12:56">
      <c r="L57" s="13"/>
      <c r="M57" s="13"/>
      <c r="AY57" s="20" t="s">
        <v>57</v>
      </c>
      <c r="AZ57" s="21">
        <f>'2a. % By Priority'!G64</f>
        <v>0</v>
      </c>
      <c r="BA57" s="21">
        <f>'2a. % By Priority'!N64</f>
        <v>0</v>
      </c>
      <c r="BB57" s="21">
        <f>'2a. % By Priority'!U64</f>
        <v>0</v>
      </c>
      <c r="BC57" s="21">
        <f>'2a. % By Priority'!AB64</f>
        <v>9.0909090909090912E-2</v>
      </c>
      <c r="BD57" s="9"/>
    </row>
    <row r="58" spans="12:56">
      <c r="L58" s="13"/>
      <c r="M58" s="13"/>
      <c r="AY58" s="9"/>
      <c r="AZ58" s="12"/>
      <c r="BA58" s="12"/>
      <c r="BB58" s="12"/>
      <c r="BC58" s="12"/>
      <c r="BD58" s="9"/>
    </row>
    <row r="59" spans="12:56">
      <c r="AY59" s="14"/>
      <c r="AZ59" s="12"/>
      <c r="BA59" s="12"/>
      <c r="BB59" s="12"/>
      <c r="BC59" s="12"/>
      <c r="BD59" s="9"/>
    </row>
    <row r="60" spans="12:56">
      <c r="AY60" s="14"/>
      <c r="AZ60" s="12"/>
      <c r="BA60" s="12"/>
      <c r="BB60" s="12"/>
      <c r="BC60" s="12"/>
      <c r="BD60" s="9"/>
    </row>
    <row r="61" spans="12:56">
      <c r="AY61" s="14"/>
      <c r="AZ61" s="12"/>
      <c r="BA61" s="12"/>
      <c r="BB61" s="12"/>
      <c r="BC61" s="12"/>
      <c r="BD61" s="9"/>
    </row>
    <row r="62" spans="12:56">
      <c r="AY62" s="9"/>
      <c r="AZ62" s="12"/>
      <c r="BA62" s="12"/>
      <c r="BB62" s="12"/>
      <c r="BC62" s="12"/>
      <c r="BD62" s="9"/>
    </row>
    <row r="63" spans="12:56">
      <c r="AY63" s="9"/>
      <c r="AZ63" s="12"/>
      <c r="BA63" s="12"/>
      <c r="BB63" s="12"/>
      <c r="BC63" s="12"/>
      <c r="BD63" s="9"/>
    </row>
    <row r="64" spans="12:56">
      <c r="AY64" s="9"/>
      <c r="AZ64" s="12"/>
      <c r="BA64" s="12"/>
      <c r="BB64" s="12"/>
      <c r="BC64" s="12"/>
      <c r="BD64" s="9"/>
    </row>
    <row r="65" spans="51:56">
      <c r="AY65" s="9"/>
      <c r="AZ65" s="12"/>
      <c r="BA65" s="12"/>
      <c r="BB65" s="12"/>
      <c r="BC65" s="12"/>
      <c r="BD65" s="9"/>
    </row>
    <row r="66" spans="51:56">
      <c r="AY66" s="9"/>
      <c r="AZ66" s="12"/>
      <c r="BA66" s="12"/>
      <c r="BB66" s="12"/>
      <c r="BC66" s="12"/>
      <c r="BD66" s="9"/>
    </row>
    <row r="69" spans="51:56">
      <c r="AY69" s="16" t="s">
        <v>406</v>
      </c>
      <c r="AZ69" s="27"/>
      <c r="BA69" s="27"/>
      <c r="BB69" s="27"/>
      <c r="BC69" s="27"/>
    </row>
    <row r="70" spans="51:56">
      <c r="AY70" s="28"/>
      <c r="AZ70" s="19" t="s">
        <v>13</v>
      </c>
      <c r="BA70" s="19" t="s">
        <v>14</v>
      </c>
      <c r="BB70" s="19" t="s">
        <v>15</v>
      </c>
      <c r="BC70" s="19" t="s">
        <v>12</v>
      </c>
    </row>
    <row r="71" spans="51:56">
      <c r="AY71" s="20" t="s">
        <v>55</v>
      </c>
      <c r="AZ71" s="21">
        <f>'2a. % By Priority'!G77</f>
        <v>1</v>
      </c>
      <c r="BA71" s="21">
        <f>'2a. % By Priority'!N77</f>
        <v>1</v>
      </c>
      <c r="BB71" s="21">
        <f>'2a. % By Priority'!U77</f>
        <v>1</v>
      </c>
      <c r="BC71" s="21">
        <f>'2a. % By Priority'!AB77</f>
        <v>1</v>
      </c>
    </row>
    <row r="72" spans="51:56">
      <c r="AY72" s="20" t="s">
        <v>56</v>
      </c>
      <c r="AZ72" s="21">
        <f>'2a. % By Priority'!G79</f>
        <v>0</v>
      </c>
      <c r="BA72" s="21">
        <f>'2a. % By Priority'!N79</f>
        <v>0</v>
      </c>
      <c r="BB72" s="21">
        <f>'2a. % By Priority'!U79</f>
        <v>0</v>
      </c>
      <c r="BC72" s="21">
        <f>'2a. % By Priority'!AB79</f>
        <v>0</v>
      </c>
    </row>
    <row r="73" spans="51:56">
      <c r="AY73" s="20" t="s">
        <v>57</v>
      </c>
      <c r="AZ73" s="21">
        <f>'2a. % By Priority'!G82</f>
        <v>0</v>
      </c>
      <c r="BA73" s="21">
        <f>'2a. % By Priority'!N82</f>
        <v>0</v>
      </c>
      <c r="BB73" s="21">
        <f>'2a. % By Priority'!U82</f>
        <v>0</v>
      </c>
      <c r="BC73" s="21">
        <f>'2a. % By Priority'!AB82</f>
        <v>0</v>
      </c>
    </row>
    <row r="84" spans="51:55">
      <c r="AY84" s="16" t="s">
        <v>407</v>
      </c>
    </row>
    <row r="85" spans="51:55">
      <c r="AY85" s="28"/>
      <c r="AZ85" s="19" t="s">
        <v>13</v>
      </c>
      <c r="BA85" s="19" t="s">
        <v>14</v>
      </c>
      <c r="BB85" s="19" t="s">
        <v>15</v>
      </c>
      <c r="BC85" s="19" t="s">
        <v>12</v>
      </c>
    </row>
    <row r="86" spans="51:55">
      <c r="AY86" s="20" t="s">
        <v>55</v>
      </c>
      <c r="AZ86" s="21">
        <f>'2a. % By Priority'!G95</f>
        <v>1</v>
      </c>
      <c r="BA86" s="21">
        <f>'2a. % By Priority'!N95</f>
        <v>1</v>
      </c>
      <c r="BB86" s="21">
        <f>'2a. % By Priority'!U95</f>
        <v>1</v>
      </c>
      <c r="BC86" s="21">
        <f>'2a. % By Priority'!AB95</f>
        <v>1</v>
      </c>
    </row>
    <row r="87" spans="51:55">
      <c r="AY87" s="20" t="s">
        <v>56</v>
      </c>
      <c r="AZ87" s="21">
        <f>'2a. % By Priority'!G97</f>
        <v>0</v>
      </c>
      <c r="BA87" s="21">
        <f>'2a. % By Priority'!N97</f>
        <v>0</v>
      </c>
      <c r="BB87" s="21">
        <f>'2a. % By Priority'!U97</f>
        <v>0</v>
      </c>
      <c r="BC87" s="21">
        <f>'2a. % By Priority'!AB97</f>
        <v>0</v>
      </c>
    </row>
    <row r="88" spans="51:55">
      <c r="AY88" s="20" t="s">
        <v>57</v>
      </c>
      <c r="AZ88" s="21">
        <f>'2a. % By Priority'!G100</f>
        <v>0</v>
      </c>
      <c r="BA88" s="21">
        <f>'2a. % By Priority'!N100</f>
        <v>0</v>
      </c>
      <c r="BB88" s="21">
        <f>'2a. % By Priority'!U100</f>
        <v>0</v>
      </c>
      <c r="BC88" s="21">
        <f>'2a. % By Priority'!AB100</f>
        <v>0</v>
      </c>
    </row>
  </sheetData>
  <sheetProtection algorithmName="SHA-512" hashValue="NBuUEVDodZh+D043q5MqOADUzi0CxqTnZJkcPdThaLiEQt4tbNM0ELD6dQJ4BKyvRqVesGv8hgH5FLg3DlKUXw==" saltValue="1rqq2Q+URqaHjNmRsPQ86A==" spinCount="100000" sheet="1" objects="1" scenarios="1"/>
  <mergeCells count="2">
    <mergeCell ref="M1:Z3"/>
    <mergeCell ref="AY1:BL3"/>
  </mergeCells>
  <pageMargins left="0.25" right="0.25" top="0.75" bottom="0.75" header="0.3" footer="0.3"/>
  <pageSetup paperSize="8" scale="51" orientation="landscape" verticalDpi="0" r:id="rId1"/>
  <colBreaks count="1" manualBreakCount="1">
    <brk id="45"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H1" zoomScale="70" zoomScaleNormal="70" workbookViewId="0">
      <pane ySplit="2" topLeftCell="A90" activePane="bottomLeft" state="frozen"/>
      <selection activeCell="B1" sqref="B1"/>
      <selection pane="bottomLeft" activeCell="P1" sqref="P1:U1048576"/>
    </sheetView>
  </sheetViews>
  <sheetFormatPr defaultColWidth="9.28515625" defaultRowHeight="14.25"/>
  <cols>
    <col min="1" max="1" width="3.42578125" style="157" hidden="1" customWidth="1"/>
    <col min="2" max="2" width="52.28515625" style="157" hidden="1" customWidth="1"/>
    <col min="3" max="3" width="12.28515625" style="154" hidden="1" customWidth="1"/>
    <col min="4" max="4" width="11.7109375" style="154" hidden="1" customWidth="1"/>
    <col min="5" max="5" width="15" style="154" hidden="1" customWidth="1"/>
    <col min="6" max="6" width="11.7109375" style="157" hidden="1" customWidth="1"/>
    <col min="7" max="7" width="16.7109375" style="154" hidden="1" customWidth="1"/>
    <col min="8" max="8" width="4.5703125" style="157" customWidth="1"/>
    <col min="9" max="9" width="51.28515625" style="157" hidden="1" customWidth="1"/>
    <col min="10" max="10" width="12.28515625" style="154" hidden="1" customWidth="1"/>
    <col min="11" max="11" width="11.7109375" style="154" hidden="1" customWidth="1"/>
    <col min="12" max="12" width="15" style="154" hidden="1" customWidth="1"/>
    <col min="13" max="13" width="11.7109375" style="157" hidden="1" customWidth="1"/>
    <col min="14" max="14" width="16.7109375" style="154" hidden="1" customWidth="1"/>
    <col min="15" max="15" width="4.5703125" style="157" customWidth="1"/>
    <col min="16" max="16" width="52.5703125" style="157" hidden="1" customWidth="1"/>
    <col min="17" max="17" width="12.28515625" style="154" hidden="1" customWidth="1"/>
    <col min="18" max="18" width="11.7109375" style="154" hidden="1" customWidth="1"/>
    <col min="19" max="19" width="15" style="154" hidden="1" customWidth="1"/>
    <col min="20" max="20" width="11.7109375" style="157" hidden="1" customWidth="1"/>
    <col min="21" max="21" width="16.7109375" style="154" hidden="1" customWidth="1"/>
    <col min="22" max="22" width="4.5703125" style="157" customWidth="1"/>
    <col min="23" max="23" width="51.7109375" style="154" customWidth="1"/>
    <col min="24" max="24" width="12.28515625" style="154" customWidth="1"/>
    <col min="25" max="25" width="20.42578125" style="154" customWidth="1"/>
    <col min="26" max="26" width="15" style="154" customWidth="1"/>
    <col min="27" max="27" width="11.7109375" style="154" customWidth="1"/>
    <col min="28" max="28" width="16.7109375" style="181" customWidth="1"/>
    <col min="29" max="29" width="9.28515625" style="157" customWidth="1"/>
    <col min="30" max="16384" width="9.28515625" style="157"/>
  </cols>
  <sheetData>
    <row r="1" spans="2:30" s="151" customFormat="1" ht="20.25">
      <c r="B1" s="196" t="s">
        <v>425</v>
      </c>
      <c r="C1" s="197"/>
      <c r="D1" s="198"/>
      <c r="E1" s="198"/>
      <c r="F1" s="199"/>
      <c r="G1" s="198"/>
      <c r="I1" s="196" t="s">
        <v>417</v>
      </c>
      <c r="J1" s="197"/>
      <c r="K1" s="198"/>
      <c r="L1" s="198"/>
      <c r="M1" s="199"/>
      <c r="N1" s="198"/>
      <c r="P1" s="196" t="s">
        <v>418</v>
      </c>
      <c r="Q1" s="197"/>
      <c r="R1" s="198"/>
      <c r="S1" s="198"/>
      <c r="T1" s="199"/>
      <c r="U1" s="198"/>
      <c r="W1" s="200" t="s">
        <v>419</v>
      </c>
      <c r="X1" s="201"/>
      <c r="Y1" s="201"/>
      <c r="Z1" s="201"/>
      <c r="AA1" s="201"/>
      <c r="AB1" s="202"/>
    </row>
    <row r="2" spans="2:30" ht="15.75">
      <c r="B2" s="152"/>
      <c r="C2" s="153"/>
      <c r="D2" s="153"/>
      <c r="E2" s="153"/>
      <c r="F2" s="152"/>
      <c r="G2" s="153"/>
      <c r="I2" s="152"/>
      <c r="J2" s="153"/>
      <c r="K2" s="153"/>
      <c r="L2" s="153"/>
      <c r="M2" s="152"/>
      <c r="N2" s="153"/>
      <c r="P2" s="152"/>
      <c r="Q2" s="153"/>
      <c r="R2" s="153"/>
      <c r="S2" s="153"/>
      <c r="T2" s="152"/>
      <c r="U2" s="153"/>
      <c r="W2" s="155"/>
      <c r="X2" s="155"/>
      <c r="Y2" s="155"/>
      <c r="Z2" s="155"/>
      <c r="AA2" s="155"/>
      <c r="AB2" s="156"/>
    </row>
    <row r="3" spans="2:30" s="166" customFormat="1" ht="15.75">
      <c r="B3" s="225" t="s">
        <v>413</v>
      </c>
      <c r="C3" s="204"/>
      <c r="D3" s="204"/>
      <c r="E3" s="204"/>
      <c r="F3" s="205"/>
      <c r="G3" s="204"/>
      <c r="I3" s="225" t="s">
        <v>413</v>
      </c>
      <c r="J3" s="204"/>
      <c r="K3" s="204"/>
      <c r="L3" s="204"/>
      <c r="M3" s="205"/>
      <c r="N3" s="204"/>
      <c r="P3" s="225" t="s">
        <v>413</v>
      </c>
      <c r="Q3" s="204"/>
      <c r="R3" s="204"/>
      <c r="S3" s="204"/>
      <c r="T3" s="205"/>
      <c r="U3" s="204"/>
      <c r="W3" s="225" t="s">
        <v>413</v>
      </c>
      <c r="X3" s="204"/>
      <c r="Y3" s="204"/>
      <c r="Z3" s="204"/>
      <c r="AA3" s="205"/>
      <c r="AB3" s="204"/>
    </row>
    <row r="4" spans="2:30" ht="42" customHeight="1">
      <c r="B4" s="206" t="s">
        <v>42</v>
      </c>
      <c r="C4" s="207" t="s">
        <v>43</v>
      </c>
      <c r="D4" s="207" t="s">
        <v>44</v>
      </c>
      <c r="E4" s="207" t="s">
        <v>45</v>
      </c>
      <c r="F4" s="206" t="s">
        <v>46</v>
      </c>
      <c r="G4" s="207" t="s">
        <v>47</v>
      </c>
      <c r="I4" s="206" t="s">
        <v>42</v>
      </c>
      <c r="J4" s="207" t="s">
        <v>43</v>
      </c>
      <c r="K4" s="207" t="s">
        <v>44</v>
      </c>
      <c r="L4" s="207" t="s">
        <v>45</v>
      </c>
      <c r="M4" s="206" t="s">
        <v>46</v>
      </c>
      <c r="N4" s="207" t="s">
        <v>47</v>
      </c>
      <c r="P4" s="206" t="s">
        <v>42</v>
      </c>
      <c r="Q4" s="207" t="s">
        <v>43</v>
      </c>
      <c r="R4" s="207" t="s">
        <v>44</v>
      </c>
      <c r="S4" s="207" t="s">
        <v>45</v>
      </c>
      <c r="T4" s="206" t="s">
        <v>46</v>
      </c>
      <c r="U4" s="207" t="s">
        <v>47</v>
      </c>
      <c r="W4" s="164" t="s">
        <v>42</v>
      </c>
      <c r="X4" s="164" t="s">
        <v>43</v>
      </c>
      <c r="Y4" s="164" t="s">
        <v>44</v>
      </c>
      <c r="Z4" s="164" t="s">
        <v>45</v>
      </c>
      <c r="AA4" s="164" t="s">
        <v>46</v>
      </c>
      <c r="AB4" s="164" t="s">
        <v>47</v>
      </c>
    </row>
    <row r="5" spans="2:30" ht="21.75" customHeight="1">
      <c r="B5" s="228" t="s">
        <v>48</v>
      </c>
      <c r="C5" s="208">
        <f>COUNTIFS('1. All Data'!$AB$3:$AB$136,"Communities and Regulatory Services",'1. All Data'!$H$3:$H$136,"Fully Achieved")</f>
        <v>2</v>
      </c>
      <c r="D5" s="209">
        <f>C5/C16</f>
        <v>8.6956521739130432E-2</v>
      </c>
      <c r="E5" s="435">
        <f>D5+D6</f>
        <v>0.73913043478260865</v>
      </c>
      <c r="F5" s="210">
        <f>C5/C17</f>
        <v>0.1111111111111111</v>
      </c>
      <c r="G5" s="437">
        <f>F5+F6</f>
        <v>0.94444444444444442</v>
      </c>
      <c r="I5" s="228" t="s">
        <v>48</v>
      </c>
      <c r="J5" s="208">
        <f>COUNTIFS('1. All Data'!$AB$3:$AB$136,"Communities and Regulatory Services",'1. All Data'!$M$3:$M$136,"Fully Achieved")</f>
        <v>8</v>
      </c>
      <c r="K5" s="209">
        <f>J5/J16</f>
        <v>0.34782608695652173</v>
      </c>
      <c r="L5" s="435">
        <f>K5+K6</f>
        <v>0.91304347826086951</v>
      </c>
      <c r="M5" s="210">
        <f>J5/J17</f>
        <v>0.36363636363636365</v>
      </c>
      <c r="N5" s="437">
        <f>M5+M6</f>
        <v>0.95454545454545459</v>
      </c>
      <c r="P5" s="228" t="s">
        <v>48</v>
      </c>
      <c r="Q5" s="208">
        <f>COUNTIFS('1. All Data'!$AB$3:$AB$136,"Communities and Regulatory Services",'1. All Data'!$R$3:$R$136,"Fully Achieved")</f>
        <v>13</v>
      </c>
      <c r="R5" s="209">
        <f>Q5/Q16</f>
        <v>0.56521739130434778</v>
      </c>
      <c r="S5" s="435">
        <f>R5+R6</f>
        <v>0.95652173913043481</v>
      </c>
      <c r="T5" s="210">
        <f>Q5/Q17</f>
        <v>0.56521739130434778</v>
      </c>
      <c r="U5" s="437">
        <f>T5+T6</f>
        <v>0.95652173913043481</v>
      </c>
      <c r="W5" s="228" t="s">
        <v>48</v>
      </c>
      <c r="X5" s="208">
        <f>COUNTIFS('1. All Data'!$AB$3:$AB$136,"Communities and Regulatory Services",'1. All Data'!$V$3:$V$136,"Fully Achieved")</f>
        <v>21</v>
      </c>
      <c r="Y5" s="209">
        <f>X5/X16</f>
        <v>0.91304347826086951</v>
      </c>
      <c r="Z5" s="435">
        <f>Y5+Y6</f>
        <v>0.91304347826086951</v>
      </c>
      <c r="AA5" s="209">
        <f>X5/X17</f>
        <v>0.91304347826086951</v>
      </c>
      <c r="AB5" s="415">
        <f>AA5+AA6</f>
        <v>0.91304347826086951</v>
      </c>
    </row>
    <row r="6" spans="2:30" ht="18.75" customHeight="1">
      <c r="B6" s="228" t="s">
        <v>31</v>
      </c>
      <c r="C6" s="208">
        <f>COUNTIFS('1. All Data'!$AB$3:$AB$136,"Communities and Regulatory Services",'1. All Data'!$H$3:$H$136,"On Track to be Achieved")</f>
        <v>15</v>
      </c>
      <c r="D6" s="209">
        <f>C6/C16</f>
        <v>0.65217391304347827</v>
      </c>
      <c r="E6" s="435"/>
      <c r="F6" s="210">
        <f>C6/C17</f>
        <v>0.83333333333333337</v>
      </c>
      <c r="G6" s="437"/>
      <c r="I6" s="228" t="s">
        <v>31</v>
      </c>
      <c r="J6" s="208">
        <f>COUNTIFS('1. All Data'!$AB$3:$AB$136,"Communities and Regulatory Services",'1. All Data'!$M$3:$M$136,"On Track to be Achieved")</f>
        <v>13</v>
      </c>
      <c r="K6" s="209">
        <f>J6/J16</f>
        <v>0.56521739130434778</v>
      </c>
      <c r="L6" s="435"/>
      <c r="M6" s="210">
        <f>J6/J17</f>
        <v>0.59090909090909094</v>
      </c>
      <c r="N6" s="437"/>
      <c r="P6" s="228" t="s">
        <v>31</v>
      </c>
      <c r="Q6" s="208">
        <f>COUNTIFS('1. All Data'!$AB$3:$AB$136,"Communities and Regulatory Services",'1. All Data'!$R$3:$R$136,"On Track to be Achieved")</f>
        <v>9</v>
      </c>
      <c r="R6" s="209">
        <f>Q6/Q16</f>
        <v>0.39130434782608697</v>
      </c>
      <c r="S6" s="435"/>
      <c r="T6" s="210">
        <f>Q6/Q17</f>
        <v>0.39130434782608697</v>
      </c>
      <c r="U6" s="437"/>
      <c r="W6" s="228" t="s">
        <v>23</v>
      </c>
      <c r="X6" s="208">
        <f>COUNTIFS('1. All Data'!$AB$3:$AB$136,"Communities and Regulatory Services",'1. All Data'!$V$3:$V$136,"Numerical Outturn Within 5% Tolerance")</f>
        <v>0</v>
      </c>
      <c r="Y6" s="209">
        <f>X6/X16</f>
        <v>0</v>
      </c>
      <c r="Z6" s="435"/>
      <c r="AA6" s="209">
        <f>X6/X17</f>
        <v>0</v>
      </c>
      <c r="AB6" s="415"/>
    </row>
    <row r="7" spans="2:30" ht="21" customHeight="1">
      <c r="B7" s="447" t="s">
        <v>32</v>
      </c>
      <c r="C7" s="450">
        <f>COUNTIFS('1. All Data'!$AB$3:$AB$136,"Communities and Regulatory Services",'1. All Data'!$H$3:$H$136,"In Danger of Falling Behind Target")</f>
        <v>1</v>
      </c>
      <c r="D7" s="438">
        <f>C7/C16</f>
        <v>4.3478260869565216E-2</v>
      </c>
      <c r="E7" s="438">
        <f>D7</f>
        <v>4.3478260869565216E-2</v>
      </c>
      <c r="F7" s="441">
        <f>C7/C17</f>
        <v>5.5555555555555552E-2</v>
      </c>
      <c r="G7" s="444">
        <f>F7</f>
        <v>5.5555555555555552E-2</v>
      </c>
      <c r="I7" s="447" t="s">
        <v>32</v>
      </c>
      <c r="J7" s="450">
        <f>COUNTIFS('1. All Data'!$AB$3:$AB$136,"Communities and Regulatory Services",'1. All Data'!$M$3:$M$136,"In Danger of Falling Behind Target")</f>
        <v>0</v>
      </c>
      <c r="K7" s="438">
        <f>J7/J16</f>
        <v>0</v>
      </c>
      <c r="L7" s="438">
        <f>K7</f>
        <v>0</v>
      </c>
      <c r="M7" s="441">
        <f>J7/J17</f>
        <v>0</v>
      </c>
      <c r="N7" s="444">
        <f>M7</f>
        <v>0</v>
      </c>
      <c r="P7" s="447" t="s">
        <v>32</v>
      </c>
      <c r="Q7" s="450">
        <f>COUNTIFS('1. All Data'!$AB$3:$AB$136,"Communities and Regulatory Services",'1. All Data'!$R$3:$R$136,"In Danger of Falling Behind Target")</f>
        <v>0</v>
      </c>
      <c r="R7" s="438">
        <f>Q7/Q16</f>
        <v>0</v>
      </c>
      <c r="S7" s="438">
        <f>R7</f>
        <v>0</v>
      </c>
      <c r="T7" s="441">
        <f>Q7/Q17</f>
        <v>0</v>
      </c>
      <c r="U7" s="444">
        <f>T7</f>
        <v>0</v>
      </c>
      <c r="W7" s="169" t="s">
        <v>24</v>
      </c>
      <c r="X7" s="170">
        <f>COUNTIFS('1. All Data'!$AB$3:$AB$136,"Communities and Regulatory Services",'1. All Data'!$V$3:$V$136,"Numerical Outturn Within 10% Tolerance")</f>
        <v>0</v>
      </c>
      <c r="Y7" s="168">
        <f>X7/$X$16</f>
        <v>0</v>
      </c>
      <c r="Z7" s="413">
        <f>SUM(Y7:Y9)</f>
        <v>0</v>
      </c>
      <c r="AA7" s="168">
        <f>X7/$X$17</f>
        <v>0</v>
      </c>
      <c r="AB7" s="422">
        <f>SUM(AA7:AA9)</f>
        <v>0</v>
      </c>
    </row>
    <row r="8" spans="2:30" ht="20.25" customHeight="1">
      <c r="B8" s="448"/>
      <c r="C8" s="451"/>
      <c r="D8" s="439"/>
      <c r="E8" s="439"/>
      <c r="F8" s="442"/>
      <c r="G8" s="445"/>
      <c r="I8" s="448"/>
      <c r="J8" s="451"/>
      <c r="K8" s="439"/>
      <c r="L8" s="439"/>
      <c r="M8" s="442"/>
      <c r="N8" s="445"/>
      <c r="P8" s="448"/>
      <c r="Q8" s="451"/>
      <c r="R8" s="439"/>
      <c r="S8" s="439"/>
      <c r="T8" s="442"/>
      <c r="U8" s="445"/>
      <c r="W8" s="169" t="s">
        <v>25</v>
      </c>
      <c r="X8" s="170">
        <f>COUNTIFS('1. All Data'!$AB$3:$AB$136,"Communities and Regulatory Services",'1. All Data'!$V$3:$V$136,"Target Partially Met")</f>
        <v>0</v>
      </c>
      <c r="Y8" s="168">
        <f>X8/$X$16</f>
        <v>0</v>
      </c>
      <c r="Z8" s="413"/>
      <c r="AA8" s="168">
        <f>X8/$X$17</f>
        <v>0</v>
      </c>
      <c r="AB8" s="422"/>
    </row>
    <row r="9" spans="2:30" ht="18.75" customHeight="1">
      <c r="B9" s="449"/>
      <c r="C9" s="452"/>
      <c r="D9" s="440"/>
      <c r="E9" s="440"/>
      <c r="F9" s="443"/>
      <c r="G9" s="446"/>
      <c r="I9" s="449"/>
      <c r="J9" s="452"/>
      <c r="K9" s="440"/>
      <c r="L9" s="440"/>
      <c r="M9" s="443"/>
      <c r="N9" s="446"/>
      <c r="P9" s="449"/>
      <c r="Q9" s="452"/>
      <c r="R9" s="440"/>
      <c r="S9" s="440"/>
      <c r="T9" s="443"/>
      <c r="U9" s="446"/>
      <c r="W9" s="169" t="s">
        <v>28</v>
      </c>
      <c r="X9" s="170">
        <f>COUNTIFS('1. All Data'!$AB$3:$AB$136,"Communities and Regulatory Services",'1. All Data'!$V$3:$V$136,"Completion Date Within Reasonable Tolerance")</f>
        <v>0</v>
      </c>
      <c r="Y9" s="168">
        <f>X9/$X$16</f>
        <v>0</v>
      </c>
      <c r="Z9" s="413"/>
      <c r="AA9" s="168">
        <f>X9/$X$17</f>
        <v>0</v>
      </c>
      <c r="AB9" s="422"/>
    </row>
    <row r="10" spans="2:30" ht="20.25" customHeight="1">
      <c r="B10" s="211" t="s">
        <v>33</v>
      </c>
      <c r="C10" s="208">
        <f>COUNTIFS('1. All Data'!$AB$3:$AB$136,"Communities and Regulatory Services",'1. All Data'!$H$3:$H$136,"Completed Behind Schedule")</f>
        <v>0</v>
      </c>
      <c r="D10" s="209">
        <f>C10/C16</f>
        <v>0</v>
      </c>
      <c r="E10" s="435">
        <f>D10+D11</f>
        <v>0</v>
      </c>
      <c r="F10" s="210">
        <f>C10/C17</f>
        <v>0</v>
      </c>
      <c r="G10" s="436">
        <f>F10+F11</f>
        <v>0</v>
      </c>
      <c r="I10" s="211" t="s">
        <v>33</v>
      </c>
      <c r="J10" s="208">
        <f>COUNTIFS('1. All Data'!$AB$3:$AB$136,"Communities and Regulatory Services",'1. All Data'!$M$3:$M$136,"Completed Behind Schedule")</f>
        <v>0</v>
      </c>
      <c r="K10" s="209">
        <f>J10/J16</f>
        <v>0</v>
      </c>
      <c r="L10" s="435">
        <f>K10+K11</f>
        <v>4.3478260869565216E-2</v>
      </c>
      <c r="M10" s="210">
        <f>J10/J17</f>
        <v>0</v>
      </c>
      <c r="N10" s="436">
        <f>M10+M11</f>
        <v>4.5454545454545456E-2</v>
      </c>
      <c r="P10" s="211" t="s">
        <v>33</v>
      </c>
      <c r="Q10" s="208">
        <f>COUNTIFS('1. All Data'!$AB$3:$AB$136,"Communities and Regulatory Services",'1. All Data'!$R$3:$R$136,"Completed Behind Schedule")</f>
        <v>0</v>
      </c>
      <c r="R10" s="209">
        <f>Q10/Q16</f>
        <v>0</v>
      </c>
      <c r="S10" s="435">
        <f>R10+R11</f>
        <v>4.3478260869565216E-2</v>
      </c>
      <c r="T10" s="210">
        <f>Q10/Q17</f>
        <v>0</v>
      </c>
      <c r="U10" s="436">
        <f>T10+T11</f>
        <v>4.3478260869565216E-2</v>
      </c>
      <c r="W10" s="171" t="s">
        <v>27</v>
      </c>
      <c r="X10" s="208">
        <f>COUNTIFS('1. All Data'!$AB$3:$AB$136,"Communities and Regulatory Services",'1. All Data'!$V$3:$V$136,"Completed Significantly After Target Deadline")</f>
        <v>0</v>
      </c>
      <c r="Y10" s="209">
        <f>X10/X16</f>
        <v>0</v>
      </c>
      <c r="Z10" s="435">
        <f>Y10+Y11</f>
        <v>8.6956521739130432E-2</v>
      </c>
      <c r="AA10" s="168">
        <f>X10/$X$17</f>
        <v>0</v>
      </c>
      <c r="AB10" s="414">
        <f>AA10+AA11</f>
        <v>8.6956521739130432E-2</v>
      </c>
    </row>
    <row r="11" spans="2:30" ht="20.25" customHeight="1">
      <c r="B11" s="211" t="s">
        <v>26</v>
      </c>
      <c r="C11" s="208">
        <f>COUNTIFS('1. All Data'!$AB$3:$AB$136,"Communities and Regulatory Services",'1. All Data'!$H$3:$H$136,"Off Target")</f>
        <v>0</v>
      </c>
      <c r="D11" s="209">
        <f>C11/C16</f>
        <v>0</v>
      </c>
      <c r="E11" s="435"/>
      <c r="F11" s="210">
        <f>C11/C17</f>
        <v>0</v>
      </c>
      <c r="G11" s="436"/>
      <c r="I11" s="211" t="s">
        <v>26</v>
      </c>
      <c r="J11" s="208">
        <f>COUNTIFS('1. All Data'!$AB$3:$AB$136,"Communities and Regulatory Services",'1. All Data'!$M$3:$M$136,"Off Target")</f>
        <v>1</v>
      </c>
      <c r="K11" s="209">
        <f>J11/J16</f>
        <v>4.3478260869565216E-2</v>
      </c>
      <c r="L11" s="435"/>
      <c r="M11" s="210">
        <f>J11/J17</f>
        <v>4.5454545454545456E-2</v>
      </c>
      <c r="N11" s="436"/>
      <c r="P11" s="211" t="s">
        <v>26</v>
      </c>
      <c r="Q11" s="208">
        <f>COUNTIFS('1. All Data'!$AB$3:$AB$136,"Communities and Regulatory Services",'1. All Data'!$R$3:$R$136,"Off Target")</f>
        <v>1</v>
      </c>
      <c r="R11" s="209">
        <f>Q11/Q16</f>
        <v>4.3478260869565216E-2</v>
      </c>
      <c r="S11" s="435"/>
      <c r="T11" s="210">
        <f>Q11/Q17</f>
        <v>4.3478260869565216E-2</v>
      </c>
      <c r="U11" s="436"/>
      <c r="W11" s="171" t="s">
        <v>26</v>
      </c>
      <c r="X11" s="208">
        <f>COUNTIFS('1. All Data'!$AB$3:$AB$136,"Communities and Regulatory Services",'1. All Data'!$V$3:$V$136,"Off Target")</f>
        <v>2</v>
      </c>
      <c r="Y11" s="209">
        <f>X11/X16</f>
        <v>8.6956521739130432E-2</v>
      </c>
      <c r="Z11" s="435"/>
      <c r="AA11" s="168">
        <f>X11/$X$17</f>
        <v>8.6956521739130432E-2</v>
      </c>
      <c r="AB11" s="414"/>
    </row>
    <row r="12" spans="2:30" ht="15" customHeight="1">
      <c r="B12" s="212" t="s">
        <v>49</v>
      </c>
      <c r="C12" s="208">
        <f>COUNTIFS('1. All Data'!$AB$3:$AB$136,"Communities and Regulatory Services",'1. All Data'!$H$3:$H$136,"Not yet due")</f>
        <v>5</v>
      </c>
      <c r="D12" s="213">
        <f>C12/C16</f>
        <v>0.21739130434782608</v>
      </c>
      <c r="E12" s="213">
        <f>D12</f>
        <v>0.21739130434782608</v>
      </c>
      <c r="F12" s="214"/>
      <c r="G12" s="58"/>
      <c r="I12" s="212" t="s">
        <v>49</v>
      </c>
      <c r="J12" s="208">
        <f>COUNTIFS('1. All Data'!$AB$3:$AB$136,"Communities and Regulatory Services",'1. All Data'!$M$3:$M$136,"Not yet due")</f>
        <v>1</v>
      </c>
      <c r="K12" s="213">
        <f>J12/J16</f>
        <v>4.3478260869565216E-2</v>
      </c>
      <c r="L12" s="213">
        <f>K12</f>
        <v>4.3478260869565216E-2</v>
      </c>
      <c r="M12" s="214"/>
      <c r="N12" s="58"/>
      <c r="P12" s="212" t="s">
        <v>49</v>
      </c>
      <c r="Q12" s="208">
        <f>COUNTIFS('1. All Data'!$AB$3:$AB$136,"Communities and Regulatory Services",'1. All Data'!$R$3:$R$136,"Not yet due")</f>
        <v>0</v>
      </c>
      <c r="R12" s="213">
        <f>Q12/Q16</f>
        <v>0</v>
      </c>
      <c r="S12" s="213">
        <f>R12</f>
        <v>0</v>
      </c>
      <c r="T12" s="214"/>
      <c r="U12" s="58"/>
      <c r="W12" s="172" t="s">
        <v>49</v>
      </c>
      <c r="X12" s="208">
        <f>COUNTIFS('1. All Data'!$AB$3:$AB$136,"Communities and Regulatory Services",'1. All Data'!$V$3:$V$136,"Not yet due")</f>
        <v>0</v>
      </c>
      <c r="Y12" s="213">
        <f>X12/X16</f>
        <v>0</v>
      </c>
      <c r="Z12" s="213">
        <f>Y12</f>
        <v>0</v>
      </c>
      <c r="AA12" s="174"/>
      <c r="AB12" s="58"/>
    </row>
    <row r="13" spans="2:30" ht="15" customHeight="1">
      <c r="B13" s="212" t="s">
        <v>21</v>
      </c>
      <c r="C13" s="208">
        <f>COUNTIFS('1. All Data'!$AB$3:$AB$136,"Communities and Regulatory Services",'1. All Data'!$H$3:$H$136,"Update not provided")</f>
        <v>0</v>
      </c>
      <c r="D13" s="213">
        <f>C13/C16</f>
        <v>0</v>
      </c>
      <c r="E13" s="213">
        <f>D13</f>
        <v>0</v>
      </c>
      <c r="F13" s="214"/>
      <c r="G13" s="2"/>
      <c r="I13" s="212" t="s">
        <v>21</v>
      </c>
      <c r="J13" s="208">
        <f>COUNTIFS('1. All Data'!$AB$3:$AB$136,"Communities and Regulatory Services",'1. All Data'!$M$3:$M$136,"Update not provided")</f>
        <v>0</v>
      </c>
      <c r="K13" s="213">
        <f>J13/J16</f>
        <v>0</v>
      </c>
      <c r="L13" s="213">
        <f>K13</f>
        <v>0</v>
      </c>
      <c r="M13" s="214"/>
      <c r="N13" s="2"/>
      <c r="P13" s="212" t="s">
        <v>21</v>
      </c>
      <c r="Q13" s="208">
        <f>COUNTIFS('1. All Data'!$AB$3:$AB$136,"Communities and Regulatory Services",'1. All Data'!$R$3:$R$136,"Update not provided")</f>
        <v>0</v>
      </c>
      <c r="R13" s="213">
        <f>Q13/Q16</f>
        <v>0</v>
      </c>
      <c r="S13" s="213">
        <f>R13</f>
        <v>0</v>
      </c>
      <c r="T13" s="214"/>
      <c r="U13" s="2"/>
      <c r="W13" s="172" t="s">
        <v>21</v>
      </c>
      <c r="X13" s="208">
        <f>COUNTIFS('1. All Data'!$AB$3:$AB$136,"Communities and Regulatory Services",'1. All Data'!$V$3:$V$136,"Update not provided")</f>
        <v>0</v>
      </c>
      <c r="Y13" s="213">
        <f>X13/X16</f>
        <v>0</v>
      </c>
      <c r="Z13" s="213">
        <f>Y13</f>
        <v>0</v>
      </c>
      <c r="AA13" s="174"/>
      <c r="AB13" s="2"/>
    </row>
    <row r="14" spans="2:30" ht="15.75" customHeight="1">
      <c r="B14" s="215" t="s">
        <v>29</v>
      </c>
      <c r="C14" s="208">
        <f>COUNTIFS('1. All Data'!$AB$3:$AB$136,"Communities and Regulatory Services",'1. All Data'!$H$3:$H$136,"Deferred")</f>
        <v>0</v>
      </c>
      <c r="D14" s="216">
        <f>C14/C16</f>
        <v>0</v>
      </c>
      <c r="E14" s="216">
        <f>D14</f>
        <v>0</v>
      </c>
      <c r="F14" s="217"/>
      <c r="G14" s="58"/>
      <c r="I14" s="215" t="s">
        <v>29</v>
      </c>
      <c r="J14" s="208">
        <f>COUNTIFS('1. All Data'!$AB$3:$AB$136,"Communities and Regulatory Services",'1. All Data'!$M$3:$M$136,"Deferred")</f>
        <v>0</v>
      </c>
      <c r="K14" s="216">
        <f>J14/J16</f>
        <v>0</v>
      </c>
      <c r="L14" s="216">
        <f>K14</f>
        <v>0</v>
      </c>
      <c r="M14" s="217"/>
      <c r="N14" s="58"/>
      <c r="P14" s="215" t="s">
        <v>29</v>
      </c>
      <c r="Q14" s="208">
        <f>COUNTIFS('1. All Data'!$AB$3:$AB$136,"Communities and Regulatory Services",'1. All Data'!$R$3:$R$136,"Deferred")</f>
        <v>0</v>
      </c>
      <c r="R14" s="216">
        <f>Q14/Q16</f>
        <v>0</v>
      </c>
      <c r="S14" s="216">
        <f>R14</f>
        <v>0</v>
      </c>
      <c r="T14" s="217"/>
      <c r="U14" s="58"/>
      <c r="W14" s="175" t="s">
        <v>29</v>
      </c>
      <c r="X14" s="208">
        <f>COUNTIFS('1. All Data'!$AB$3:$AB$136,"Communities and Regulatory Services",'1. All Data'!$V$3:$V$136,"Deferred")</f>
        <v>0</v>
      </c>
      <c r="Y14" s="216">
        <f>X14/X16</f>
        <v>0</v>
      </c>
      <c r="Z14" s="216">
        <f>Y14</f>
        <v>0</v>
      </c>
      <c r="AA14" s="177"/>
      <c r="AB14" s="58"/>
    </row>
    <row r="15" spans="2:30" ht="15.75" customHeight="1">
      <c r="B15" s="215" t="s">
        <v>30</v>
      </c>
      <c r="C15" s="208">
        <f>COUNTIFS('1. All Data'!$AB$3:$AB$136,"Communities and Regulatory Services",'1. All Data'!$H$3:$H$136,"Deleted")</f>
        <v>0</v>
      </c>
      <c r="D15" s="216">
        <f>C15/C16</f>
        <v>0</v>
      </c>
      <c r="E15" s="216">
        <f>D15</f>
        <v>0</v>
      </c>
      <c r="F15" s="217"/>
      <c r="G15" s="29"/>
      <c r="I15" s="215" t="s">
        <v>30</v>
      </c>
      <c r="J15" s="208">
        <f>COUNTIFS('1. All Data'!$AB$3:$AB$136,"Communities and Regulatory Services",'1. All Data'!$M$3:$M$136,"Deleted")</f>
        <v>0</v>
      </c>
      <c r="K15" s="216">
        <f>J15/J16</f>
        <v>0</v>
      </c>
      <c r="L15" s="216">
        <f>K15</f>
        <v>0</v>
      </c>
      <c r="M15" s="217"/>
      <c r="N15" s="29"/>
      <c r="P15" s="215" t="s">
        <v>30</v>
      </c>
      <c r="Q15" s="208">
        <f>COUNTIFS('1. All Data'!$AB$3:$AB$136,"Communities and Regulatory Services",'1. All Data'!$R$3:$R$136,"Deleted")</f>
        <v>0</v>
      </c>
      <c r="R15" s="216">
        <f>Q15/Q16</f>
        <v>0</v>
      </c>
      <c r="S15" s="216">
        <f>R15</f>
        <v>0</v>
      </c>
      <c r="T15" s="217"/>
      <c r="U15" s="29"/>
      <c r="W15" s="175" t="s">
        <v>30</v>
      </c>
      <c r="X15" s="208">
        <f>COUNTIFS('1. All Data'!$AB$3:$AB$136,"Communities and Regulatory Services",'1. All Data'!$V$3:$V$136,"Deleted")</f>
        <v>0</v>
      </c>
      <c r="Y15" s="216">
        <f>X15/X16</f>
        <v>0</v>
      </c>
      <c r="Z15" s="216">
        <f>Y15</f>
        <v>0</v>
      </c>
      <c r="AA15" s="177"/>
      <c r="AD15" s="3"/>
    </row>
    <row r="16" spans="2:30" ht="15.75" customHeight="1">
      <c r="B16" s="218" t="s">
        <v>51</v>
      </c>
      <c r="C16" s="219">
        <f>SUM(C5:C15)</f>
        <v>23</v>
      </c>
      <c r="D16" s="177"/>
      <c r="E16" s="177"/>
      <c r="F16" s="220"/>
      <c r="G16" s="58"/>
      <c r="I16" s="218" t="s">
        <v>51</v>
      </c>
      <c r="J16" s="219">
        <f>SUM(J5:J15)</f>
        <v>23</v>
      </c>
      <c r="K16" s="177"/>
      <c r="L16" s="177"/>
      <c r="M16" s="220"/>
      <c r="N16" s="58"/>
      <c r="P16" s="218" t="s">
        <v>51</v>
      </c>
      <c r="Q16" s="219">
        <f>SUM(Q5:Q15)</f>
        <v>23</v>
      </c>
      <c r="R16" s="177"/>
      <c r="S16" s="177"/>
      <c r="T16" s="220"/>
      <c r="U16" s="58"/>
      <c r="W16" s="178" t="s">
        <v>51</v>
      </c>
      <c r="X16" s="219">
        <f>SUM(X5:X15)</f>
        <v>23</v>
      </c>
      <c r="Y16" s="177"/>
      <c r="Z16" s="177"/>
      <c r="AA16" s="58"/>
      <c r="AB16" s="58"/>
    </row>
    <row r="17" spans="2:29" ht="15.75" customHeight="1">
      <c r="B17" s="218" t="s">
        <v>52</v>
      </c>
      <c r="C17" s="219">
        <f>C16-C15-C14-C13-C12</f>
        <v>18</v>
      </c>
      <c r="D17" s="58"/>
      <c r="E17" s="58"/>
      <c r="F17" s="220"/>
      <c r="G17" s="58"/>
      <c r="I17" s="218" t="s">
        <v>52</v>
      </c>
      <c r="J17" s="219">
        <f>J16-J15-J14-J13-J12</f>
        <v>22</v>
      </c>
      <c r="K17" s="58"/>
      <c r="L17" s="58"/>
      <c r="M17" s="220"/>
      <c r="N17" s="58"/>
      <c r="P17" s="218" t="s">
        <v>52</v>
      </c>
      <c r="Q17" s="219">
        <f>Q16-Q15-Q14-Q13-Q12</f>
        <v>23</v>
      </c>
      <c r="R17" s="58"/>
      <c r="S17" s="58"/>
      <c r="T17" s="220"/>
      <c r="U17" s="58"/>
      <c r="W17" s="178" t="s">
        <v>52</v>
      </c>
      <c r="X17" s="219">
        <f>X16-X15-X14-X13-X12</f>
        <v>23</v>
      </c>
      <c r="Y17" s="58"/>
      <c r="Z17" s="58"/>
      <c r="AA17" s="58"/>
      <c r="AB17" s="58"/>
    </row>
    <row r="18" spans="2:29" ht="15.75" customHeight="1">
      <c r="W18" s="180"/>
      <c r="AA18" s="2"/>
    </row>
    <row r="19" spans="2:29" ht="15.75" customHeight="1">
      <c r="AA19" s="2"/>
    </row>
    <row r="20" spans="2:29" s="166" customFormat="1" ht="15.75" customHeight="1">
      <c r="B20" s="187"/>
      <c r="C20" s="165"/>
      <c r="D20" s="165"/>
      <c r="E20" s="165"/>
      <c r="F20" s="220"/>
      <c r="G20" s="165"/>
      <c r="I20" s="187"/>
      <c r="J20" s="165"/>
      <c r="K20" s="165"/>
      <c r="L20" s="165"/>
      <c r="M20" s="220"/>
      <c r="N20" s="165"/>
      <c r="P20" s="187"/>
      <c r="Q20" s="165"/>
      <c r="R20" s="165"/>
      <c r="S20" s="165"/>
      <c r="T20" s="220"/>
      <c r="U20" s="165"/>
      <c r="W20" s="165"/>
      <c r="X20" s="165"/>
      <c r="Y20" s="165"/>
      <c r="Z20" s="165"/>
      <c r="AA20" s="58"/>
      <c r="AB20" s="186"/>
    </row>
    <row r="21" spans="2:29" ht="15" customHeight="1">
      <c r="W21" s="221"/>
      <c r="X21" s="58"/>
      <c r="Y21" s="58"/>
      <c r="Z21" s="58"/>
      <c r="AA21" s="58"/>
      <c r="AB21" s="177"/>
      <c r="AC21" s="166"/>
    </row>
    <row r="22" spans="2:29" s="166" customFormat="1" ht="15.75">
      <c r="B22" s="203" t="s">
        <v>110</v>
      </c>
      <c r="C22" s="204"/>
      <c r="D22" s="204"/>
      <c r="E22" s="204"/>
      <c r="F22" s="205"/>
      <c r="G22" s="204"/>
      <c r="I22" s="203" t="s">
        <v>110</v>
      </c>
      <c r="J22" s="204"/>
      <c r="K22" s="204"/>
      <c r="L22" s="204"/>
      <c r="M22" s="205"/>
      <c r="N22" s="204"/>
      <c r="P22" s="203" t="s">
        <v>110</v>
      </c>
      <c r="Q22" s="204"/>
      <c r="R22" s="204"/>
      <c r="S22" s="204"/>
      <c r="T22" s="205"/>
      <c r="U22" s="204"/>
      <c r="W22" s="203" t="s">
        <v>110</v>
      </c>
      <c r="X22" s="204"/>
      <c r="Y22" s="204"/>
      <c r="Z22" s="204"/>
      <c r="AA22" s="205"/>
      <c r="AB22" s="204"/>
    </row>
    <row r="23" spans="2:29" ht="42" customHeight="1">
      <c r="B23" s="206" t="s">
        <v>42</v>
      </c>
      <c r="C23" s="207" t="s">
        <v>43</v>
      </c>
      <c r="D23" s="207" t="s">
        <v>44</v>
      </c>
      <c r="E23" s="207" t="s">
        <v>45</v>
      </c>
      <c r="F23" s="206" t="s">
        <v>46</v>
      </c>
      <c r="G23" s="207" t="s">
        <v>47</v>
      </c>
      <c r="I23" s="206" t="s">
        <v>42</v>
      </c>
      <c r="J23" s="207" t="s">
        <v>43</v>
      </c>
      <c r="K23" s="207" t="s">
        <v>44</v>
      </c>
      <c r="L23" s="207" t="s">
        <v>45</v>
      </c>
      <c r="M23" s="206" t="s">
        <v>46</v>
      </c>
      <c r="N23" s="207" t="s">
        <v>47</v>
      </c>
      <c r="P23" s="206" t="s">
        <v>42</v>
      </c>
      <c r="Q23" s="207" t="s">
        <v>43</v>
      </c>
      <c r="R23" s="207" t="s">
        <v>44</v>
      </c>
      <c r="S23" s="207" t="s">
        <v>45</v>
      </c>
      <c r="T23" s="206" t="s">
        <v>46</v>
      </c>
      <c r="U23" s="207" t="s">
        <v>47</v>
      </c>
      <c r="W23" s="164" t="s">
        <v>42</v>
      </c>
      <c r="X23" s="164" t="s">
        <v>43</v>
      </c>
      <c r="Y23" s="164" t="s">
        <v>44</v>
      </c>
      <c r="Z23" s="164" t="s">
        <v>45</v>
      </c>
      <c r="AA23" s="164" t="s">
        <v>46</v>
      </c>
      <c r="AB23" s="164" t="s">
        <v>47</v>
      </c>
      <c r="AC23" s="166"/>
    </row>
    <row r="24" spans="2:29" ht="21.75" customHeight="1">
      <c r="B24" s="228" t="s">
        <v>48</v>
      </c>
      <c r="C24" s="208">
        <f>COUNTIFS('1. All Data'!$AB$3:$AB$136,"Environment and climate change",'1. All Data'!$H$3:$H$136,"Fully Achieved")</f>
        <v>2</v>
      </c>
      <c r="D24" s="209">
        <f>C24/C35</f>
        <v>5.8823529411764705E-2</v>
      </c>
      <c r="E24" s="435">
        <f>D24+D25</f>
        <v>0.44117647058823528</v>
      </c>
      <c r="F24" s="210">
        <f>C24/C36</f>
        <v>0.1111111111111111</v>
      </c>
      <c r="G24" s="437">
        <f>F24+F25</f>
        <v>0.83333333333333326</v>
      </c>
      <c r="I24" s="228" t="s">
        <v>48</v>
      </c>
      <c r="J24" s="208">
        <f>COUNTIFS('1. All Data'!$AB$3:$AB$136,"Environment and Climate Change",'1. All Data'!$M$3:$M$136,"Fully Achieved")</f>
        <v>7</v>
      </c>
      <c r="K24" s="209">
        <f>J24/J35</f>
        <v>0.20588235294117646</v>
      </c>
      <c r="L24" s="435">
        <f>K24+K25</f>
        <v>0.82352941176470584</v>
      </c>
      <c r="M24" s="210">
        <f>J24/J36</f>
        <v>0.22580645161290322</v>
      </c>
      <c r="N24" s="437">
        <f>M24+M25</f>
        <v>0.90322580645161288</v>
      </c>
      <c r="P24" s="228" t="s">
        <v>48</v>
      </c>
      <c r="Q24" s="208">
        <f>COUNTIFS('1. All Data'!$AB$3:$AB$136,"Environment and Climate Change",'1. All Data'!$R$3:$R$136,"Fully Achieved")</f>
        <v>20</v>
      </c>
      <c r="R24" s="209">
        <f>Q24/Q35</f>
        <v>0.58823529411764708</v>
      </c>
      <c r="S24" s="435">
        <f>R24+R25</f>
        <v>0.88235294117647056</v>
      </c>
      <c r="T24" s="210">
        <f>Q24/Q36</f>
        <v>0.60606060606060608</v>
      </c>
      <c r="U24" s="437">
        <f>T24+T25</f>
        <v>0.90909090909090917</v>
      </c>
      <c r="W24" s="228" t="s">
        <v>48</v>
      </c>
      <c r="X24" s="208">
        <f>COUNTIFS('1. All Data'!$AB$3:$AB$136,"Environment and Climate Change",'1. All Data'!$V$3:$V$136,"Fully Achieved")</f>
        <v>31</v>
      </c>
      <c r="Y24" s="209">
        <f>X24/X35</f>
        <v>0.91176470588235292</v>
      </c>
      <c r="Z24" s="435">
        <f>Y24+Y25</f>
        <v>0.91176470588235292</v>
      </c>
      <c r="AA24" s="209">
        <f>X24/X36</f>
        <v>0.91176470588235292</v>
      </c>
      <c r="AB24" s="415">
        <f>AA24+AA25</f>
        <v>0.91176470588235292</v>
      </c>
      <c r="AC24" s="166"/>
    </row>
    <row r="25" spans="2:29" ht="18.75" customHeight="1">
      <c r="B25" s="228" t="s">
        <v>31</v>
      </c>
      <c r="C25" s="208">
        <f>COUNTIFS('1. All Data'!$AB$3:$AB$136,"Environment and climate change",'1. All Data'!$H$3:$H$136,"On Track to be Achieved")</f>
        <v>13</v>
      </c>
      <c r="D25" s="209">
        <f>C25/C35</f>
        <v>0.38235294117647056</v>
      </c>
      <c r="E25" s="435"/>
      <c r="F25" s="210">
        <f>C25/C36</f>
        <v>0.72222222222222221</v>
      </c>
      <c r="G25" s="437"/>
      <c r="I25" s="228" t="s">
        <v>31</v>
      </c>
      <c r="J25" s="208">
        <f>COUNTIFS('1. All Data'!$AB$3:$AB$136,"Environment and Climate Change",'1. All Data'!$M$3:$M$136,"On Track to be Achieved")</f>
        <v>21</v>
      </c>
      <c r="K25" s="209">
        <f>J25/J35</f>
        <v>0.61764705882352944</v>
      </c>
      <c r="L25" s="435"/>
      <c r="M25" s="210">
        <f>J25/J36</f>
        <v>0.67741935483870963</v>
      </c>
      <c r="N25" s="437"/>
      <c r="P25" s="228" t="s">
        <v>31</v>
      </c>
      <c r="Q25" s="208">
        <f>COUNTIFS('1. All Data'!$AB$3:$AB$136,"Environment and Climate Change",'1. All Data'!$R$3:$R$136,"On Track to be Achieved")</f>
        <v>10</v>
      </c>
      <c r="R25" s="209">
        <f>Q25/Q35</f>
        <v>0.29411764705882354</v>
      </c>
      <c r="S25" s="435"/>
      <c r="T25" s="210">
        <f>Q25/Q36</f>
        <v>0.30303030303030304</v>
      </c>
      <c r="U25" s="437"/>
      <c r="W25" s="228" t="s">
        <v>23</v>
      </c>
      <c r="X25" s="208">
        <f>COUNTIFS('1. All Data'!$AB$3:$AB$136,"Environment and Climate Change",'1. All Data'!$V$3:$V$136,"Numerical Outturn Within 5% Tolerance")</f>
        <v>0</v>
      </c>
      <c r="Y25" s="209">
        <f>X25/X35</f>
        <v>0</v>
      </c>
      <c r="Z25" s="435"/>
      <c r="AA25" s="209">
        <f>X25/X36</f>
        <v>0</v>
      </c>
      <c r="AB25" s="415"/>
      <c r="AC25" s="166"/>
    </row>
    <row r="26" spans="2:29" ht="21" customHeight="1">
      <c r="B26" s="447" t="s">
        <v>32</v>
      </c>
      <c r="C26" s="450">
        <f>COUNTIFS('1. All Data'!$AB$3:$AB$136,"Environment and climate change",'1. All Data'!$H$3:$H$136,"In Danger of Falling Behind Target")</f>
        <v>3</v>
      </c>
      <c r="D26" s="438">
        <f>C26/C35</f>
        <v>8.8235294117647065E-2</v>
      </c>
      <c r="E26" s="438">
        <f>D26</f>
        <v>8.8235294117647065E-2</v>
      </c>
      <c r="F26" s="441">
        <f>C26/C36</f>
        <v>0.16666666666666666</v>
      </c>
      <c r="G26" s="444">
        <f>F26</f>
        <v>0.16666666666666666</v>
      </c>
      <c r="I26" s="447" t="s">
        <v>32</v>
      </c>
      <c r="J26" s="450">
        <f>COUNTIFS('1. All Data'!$AB$3:$AB$136,"Environment and Climate Change",'1. All Data'!$M$3:$M$136,"In Danger of Falling Behind Target")</f>
        <v>2</v>
      </c>
      <c r="K26" s="438">
        <f>J26/J35</f>
        <v>5.8823529411764705E-2</v>
      </c>
      <c r="L26" s="438">
        <f>K26</f>
        <v>5.8823529411764705E-2</v>
      </c>
      <c r="M26" s="441">
        <f>J26/J36</f>
        <v>6.4516129032258063E-2</v>
      </c>
      <c r="N26" s="444">
        <f>M26</f>
        <v>6.4516129032258063E-2</v>
      </c>
      <c r="P26" s="447" t="s">
        <v>32</v>
      </c>
      <c r="Q26" s="450">
        <f>COUNTIFS('1. All Data'!$AB$3:$AB$136,"Environment and Climate Change",'1. All Data'!$R$3:$R$136,"In Danger of Falling Behind Target")</f>
        <v>2</v>
      </c>
      <c r="R26" s="438">
        <f>Q26/Q35</f>
        <v>5.8823529411764705E-2</v>
      </c>
      <c r="S26" s="438">
        <f>R26</f>
        <v>5.8823529411764705E-2</v>
      </c>
      <c r="T26" s="441">
        <f>Q26/Q36</f>
        <v>6.0606060606060608E-2</v>
      </c>
      <c r="U26" s="444">
        <f>T26</f>
        <v>6.0606060606060608E-2</v>
      </c>
      <c r="W26" s="169" t="s">
        <v>24</v>
      </c>
      <c r="X26" s="170">
        <f>COUNTIFS('1. All Data'!$AB$3:$AB$136,"Environment and Climate Change",'1. All Data'!$V$3:$V$136,"Numerical Outturn Within 10% Tolerance")</f>
        <v>1</v>
      </c>
      <c r="Y26" s="168">
        <f>X26/X35</f>
        <v>2.9411764705882353E-2</v>
      </c>
      <c r="Z26" s="413">
        <f>SUM(Y26:Y28)</f>
        <v>2.9411764705882353E-2</v>
      </c>
      <c r="AA26" s="168">
        <f>X26/X36</f>
        <v>2.9411764705882353E-2</v>
      </c>
      <c r="AB26" s="422">
        <f>SUM(AA26:AA28)</f>
        <v>2.9411764705882353E-2</v>
      </c>
      <c r="AC26" s="166"/>
    </row>
    <row r="27" spans="2:29" ht="20.25" customHeight="1">
      <c r="B27" s="448"/>
      <c r="C27" s="451"/>
      <c r="D27" s="439"/>
      <c r="E27" s="439"/>
      <c r="F27" s="442"/>
      <c r="G27" s="445"/>
      <c r="I27" s="448"/>
      <c r="J27" s="451"/>
      <c r="K27" s="439"/>
      <c r="L27" s="439"/>
      <c r="M27" s="442"/>
      <c r="N27" s="445"/>
      <c r="P27" s="448"/>
      <c r="Q27" s="451"/>
      <c r="R27" s="439"/>
      <c r="S27" s="439"/>
      <c r="T27" s="442"/>
      <c r="U27" s="445"/>
      <c r="W27" s="169" t="s">
        <v>25</v>
      </c>
      <c r="X27" s="170">
        <f>COUNTIFS('1. All Data'!$AB$3:$AB$136,"Environment and Climate Change",'1. All Data'!$V$3:$V$136,"Target Partially Met")</f>
        <v>0</v>
      </c>
      <c r="Y27" s="168">
        <f>X27/X35</f>
        <v>0</v>
      </c>
      <c r="Z27" s="413"/>
      <c r="AA27" s="168">
        <f>X27/X36</f>
        <v>0</v>
      </c>
      <c r="AB27" s="422"/>
      <c r="AC27" s="166"/>
    </row>
    <row r="28" spans="2:29" ht="15.75" customHeight="1">
      <c r="B28" s="449"/>
      <c r="C28" s="452"/>
      <c r="D28" s="440"/>
      <c r="E28" s="440"/>
      <c r="F28" s="443"/>
      <c r="G28" s="446"/>
      <c r="I28" s="449"/>
      <c r="J28" s="452"/>
      <c r="K28" s="440"/>
      <c r="L28" s="440"/>
      <c r="M28" s="443"/>
      <c r="N28" s="446"/>
      <c r="P28" s="449"/>
      <c r="Q28" s="452"/>
      <c r="R28" s="440"/>
      <c r="S28" s="440"/>
      <c r="T28" s="443"/>
      <c r="U28" s="446"/>
      <c r="W28" s="169" t="s">
        <v>28</v>
      </c>
      <c r="X28" s="170">
        <f>COUNTIFS('1. All Data'!$AB$3:$AB$136,"Environment and Climate Change",'1. All Data'!$V$3:$V$136,"Completion Date Within Reasonable Tolerance")</f>
        <v>0</v>
      </c>
      <c r="Y28" s="168">
        <f>X28/X35</f>
        <v>0</v>
      </c>
      <c r="Z28" s="413"/>
      <c r="AA28" s="168">
        <f>X28/X36</f>
        <v>0</v>
      </c>
      <c r="AB28" s="422"/>
      <c r="AC28" s="166"/>
    </row>
    <row r="29" spans="2:29" ht="20.25" customHeight="1">
      <c r="B29" s="211" t="s">
        <v>33</v>
      </c>
      <c r="C29" s="208">
        <f>COUNTIFS('1. All Data'!$AB$3:$AB$136,"Environment and climate change",'1. All Data'!$H$3:$H$136,"Completed Behind Schedule")</f>
        <v>0</v>
      </c>
      <c r="D29" s="209">
        <f>C29/C35</f>
        <v>0</v>
      </c>
      <c r="E29" s="435">
        <f>D29+D30</f>
        <v>0</v>
      </c>
      <c r="F29" s="210">
        <f>C29/C36</f>
        <v>0</v>
      </c>
      <c r="G29" s="436">
        <f>F29+F30</f>
        <v>0</v>
      </c>
      <c r="I29" s="211" t="s">
        <v>33</v>
      </c>
      <c r="J29" s="208">
        <f>COUNTIFS('1. All Data'!$AB$3:$AB$136,"Environment and Climate Change",'1. All Data'!$M$3:$M$136,"Completed Behind Schedule")</f>
        <v>0</v>
      </c>
      <c r="K29" s="209">
        <f>J29/J35</f>
        <v>0</v>
      </c>
      <c r="L29" s="435">
        <f>K29+K30</f>
        <v>2.9411764705882353E-2</v>
      </c>
      <c r="M29" s="210">
        <f>J29/J36</f>
        <v>0</v>
      </c>
      <c r="N29" s="436">
        <f>M29+M30</f>
        <v>3.2258064516129031E-2</v>
      </c>
      <c r="P29" s="211" t="s">
        <v>33</v>
      </c>
      <c r="Q29" s="208">
        <f>COUNTIFS('1. All Data'!$AB$3:$AB$136,"Environment and Climate Change",'1. All Data'!$R$3:$R$136,"Completed Behind Schedule")</f>
        <v>1</v>
      </c>
      <c r="R29" s="209">
        <f>Q29/Q35</f>
        <v>2.9411764705882353E-2</v>
      </c>
      <c r="S29" s="435">
        <f>R29+R30</f>
        <v>2.9411764705882353E-2</v>
      </c>
      <c r="T29" s="210">
        <f>Q29/Q36</f>
        <v>3.0303030303030304E-2</v>
      </c>
      <c r="U29" s="436">
        <f>T29+T30</f>
        <v>3.0303030303030304E-2</v>
      </c>
      <c r="W29" s="171" t="s">
        <v>27</v>
      </c>
      <c r="X29" s="208">
        <f>COUNTIFS('1. All Data'!$AB$3:$AB$136,"Environment and Climate Change",'1. All Data'!$V$3:$V$136,"Completed Significantly After Target Deadline")</f>
        <v>1</v>
      </c>
      <c r="Y29" s="209">
        <f>X29/X35</f>
        <v>2.9411764705882353E-2</v>
      </c>
      <c r="Z29" s="435">
        <f>Y29+Y30</f>
        <v>5.8823529411764705E-2</v>
      </c>
      <c r="AA29" s="209">
        <f>X29/X36</f>
        <v>2.9411764705882353E-2</v>
      </c>
      <c r="AB29" s="414">
        <f>AA29+AA30</f>
        <v>5.8823529411764705E-2</v>
      </c>
      <c r="AC29" s="166"/>
    </row>
    <row r="30" spans="2:29" ht="20.25" customHeight="1">
      <c r="B30" s="211" t="s">
        <v>26</v>
      </c>
      <c r="C30" s="208">
        <f>COUNTIFS('1. All Data'!$AB$3:$AB$136,"Environment and climate change",'1. All Data'!$H$3:$H$136,"Off Target")</f>
        <v>0</v>
      </c>
      <c r="D30" s="209">
        <f>C30/C35</f>
        <v>0</v>
      </c>
      <c r="E30" s="435"/>
      <c r="F30" s="210">
        <f>C30/C36</f>
        <v>0</v>
      </c>
      <c r="G30" s="436"/>
      <c r="I30" s="211" t="s">
        <v>26</v>
      </c>
      <c r="J30" s="208">
        <f>COUNTIFS('1. All Data'!$AB$3:$AB$136,"Environment and Climate Change",'1. All Data'!$M$3:$M$136,"Off Target")</f>
        <v>1</v>
      </c>
      <c r="K30" s="209">
        <f>J30/J35</f>
        <v>2.9411764705882353E-2</v>
      </c>
      <c r="L30" s="435"/>
      <c r="M30" s="210">
        <f>J30/J36</f>
        <v>3.2258064516129031E-2</v>
      </c>
      <c r="N30" s="436"/>
      <c r="P30" s="211" t="s">
        <v>26</v>
      </c>
      <c r="Q30" s="208">
        <f>COUNTIFS('1. All Data'!$AB$3:$AB$136,"Environment and Climate Change",'1. All Data'!$R$3:$R$136,"Off Target")</f>
        <v>0</v>
      </c>
      <c r="R30" s="209">
        <f>Q30/Q35</f>
        <v>0</v>
      </c>
      <c r="S30" s="435"/>
      <c r="T30" s="210">
        <f>Q30/Q36</f>
        <v>0</v>
      </c>
      <c r="U30" s="436"/>
      <c r="W30" s="171" t="s">
        <v>26</v>
      </c>
      <c r="X30" s="208">
        <f>COUNTIFS('1. All Data'!$AB$3:$AB$136,"Environment and Climate Change",'1. All Data'!$V$3:$V$136,"Off Target")</f>
        <v>1</v>
      </c>
      <c r="Y30" s="209">
        <f>X30/X35</f>
        <v>2.9411764705882353E-2</v>
      </c>
      <c r="Z30" s="435"/>
      <c r="AA30" s="209">
        <f>X30/X36</f>
        <v>2.9411764705882353E-2</v>
      </c>
      <c r="AB30" s="414"/>
      <c r="AC30" s="166"/>
    </row>
    <row r="31" spans="2:29" ht="15" customHeight="1">
      <c r="B31" s="212" t="s">
        <v>49</v>
      </c>
      <c r="C31" s="208">
        <f>COUNTIFS('1. All Data'!$AB$3:$AB$136,"Environment and climate change",'1. All Data'!$H$3:$H$136,"Not yet due")</f>
        <v>16</v>
      </c>
      <c r="D31" s="213">
        <f>C31/C35</f>
        <v>0.47058823529411764</v>
      </c>
      <c r="E31" s="213">
        <f>D31</f>
        <v>0.47058823529411764</v>
      </c>
      <c r="F31" s="214"/>
      <c r="G31" s="58"/>
      <c r="I31" s="212" t="s">
        <v>49</v>
      </c>
      <c r="J31" s="208">
        <f>COUNTIFS('1. All Data'!$AB$3:$AB$136,"Environment and Climate Change",'1. All Data'!$M$3:$M$136,"Not yet due")</f>
        <v>3</v>
      </c>
      <c r="K31" s="213">
        <f>J31/J35</f>
        <v>8.8235294117647065E-2</v>
      </c>
      <c r="L31" s="213">
        <f>K31</f>
        <v>8.8235294117647065E-2</v>
      </c>
      <c r="M31" s="214"/>
      <c r="N31" s="58"/>
      <c r="P31" s="212" t="s">
        <v>49</v>
      </c>
      <c r="Q31" s="208">
        <f>COUNTIFS('1. All Data'!$AB$3:$AB$136,"Environment and Climate Change",'1. All Data'!$R$3:$R$136,"Not yet due")</f>
        <v>1</v>
      </c>
      <c r="R31" s="213">
        <f>Q31/Q35</f>
        <v>2.9411764705882353E-2</v>
      </c>
      <c r="S31" s="213">
        <f>R31</f>
        <v>2.9411764705882353E-2</v>
      </c>
      <c r="T31" s="214"/>
      <c r="U31" s="58"/>
      <c r="W31" s="172" t="s">
        <v>49</v>
      </c>
      <c r="X31" s="208">
        <f>COUNTIFS('1. All Data'!$AB$3:$AB$136,"Environment and Climate Change",'1. All Data'!$V$3:$V$136,"Not yet due")</f>
        <v>0</v>
      </c>
      <c r="Y31" s="213">
        <f>X31/X35</f>
        <v>0</v>
      </c>
      <c r="Z31" s="213">
        <f>Y31</f>
        <v>0</v>
      </c>
      <c r="AA31" s="174"/>
      <c r="AB31" s="58"/>
      <c r="AC31" s="166"/>
    </row>
    <row r="32" spans="2:29" ht="15" customHeight="1">
      <c r="B32" s="212" t="s">
        <v>21</v>
      </c>
      <c r="C32" s="208">
        <f>COUNTIFS('1. All Data'!$AB$3:$AB$136,"Environment and climate change",'1. All Data'!$H$3:$H$136,"Update not provided")</f>
        <v>0</v>
      </c>
      <c r="D32" s="213">
        <f>C32/C35</f>
        <v>0</v>
      </c>
      <c r="E32" s="213">
        <f>D32</f>
        <v>0</v>
      </c>
      <c r="F32" s="214"/>
      <c r="G32" s="2"/>
      <c r="I32" s="212" t="s">
        <v>21</v>
      </c>
      <c r="J32" s="208">
        <f>COUNTIFS('1. All Data'!$AB$3:$AB$136,"Environment and Climate Change",'1. All Data'!$M$3:$M$136,"Update not provided")</f>
        <v>0</v>
      </c>
      <c r="K32" s="213">
        <f>J32/J35</f>
        <v>0</v>
      </c>
      <c r="L32" s="213">
        <f>K32</f>
        <v>0</v>
      </c>
      <c r="M32" s="214"/>
      <c r="N32" s="2"/>
      <c r="P32" s="212" t="s">
        <v>21</v>
      </c>
      <c r="Q32" s="208">
        <f>COUNTIFS('1. All Data'!$AB$3:$AB$136,"Environment and Climate Change",'1. All Data'!$R$3:$R$136,"Update not provided")</f>
        <v>0</v>
      </c>
      <c r="R32" s="213">
        <f>Q32/Q35</f>
        <v>0</v>
      </c>
      <c r="S32" s="213">
        <f>R32</f>
        <v>0</v>
      </c>
      <c r="T32" s="214"/>
      <c r="U32" s="2"/>
      <c r="W32" s="172" t="s">
        <v>21</v>
      </c>
      <c r="X32" s="208">
        <f>COUNTIFS('1. All Data'!$AB$3:$AB$136,"Environment and Climate Change",'1. All Data'!$V$3:$V$136,"Update not provided")</f>
        <v>0</v>
      </c>
      <c r="Y32" s="213">
        <f>X32/X35</f>
        <v>0</v>
      </c>
      <c r="Z32" s="213">
        <f>Y32</f>
        <v>0</v>
      </c>
      <c r="AA32" s="174"/>
      <c r="AB32" s="2"/>
      <c r="AC32" s="166"/>
    </row>
    <row r="33" spans="2:29" ht="15.75" customHeight="1">
      <c r="B33" s="215" t="s">
        <v>29</v>
      </c>
      <c r="C33" s="208">
        <f>COUNTIFS('1. All Data'!$AB$3:$AB$136,"Environment and climate change",'1. All Data'!$H$3:$H$136,"Deferred")</f>
        <v>0</v>
      </c>
      <c r="D33" s="216">
        <f>C33/C35</f>
        <v>0</v>
      </c>
      <c r="E33" s="216">
        <f>D33</f>
        <v>0</v>
      </c>
      <c r="F33" s="217"/>
      <c r="G33" s="58"/>
      <c r="I33" s="215" t="s">
        <v>29</v>
      </c>
      <c r="J33" s="208">
        <f>COUNTIFS('1. All Data'!$AB$3:$AB$136,"Environment and Climate Change",'1. All Data'!$M$3:$M$136,"Deferred")</f>
        <v>0</v>
      </c>
      <c r="K33" s="216">
        <f>J33/J35</f>
        <v>0</v>
      </c>
      <c r="L33" s="216">
        <f>K33</f>
        <v>0</v>
      </c>
      <c r="M33" s="217"/>
      <c r="N33" s="58"/>
      <c r="P33" s="215" t="s">
        <v>29</v>
      </c>
      <c r="Q33" s="208">
        <f>COUNTIFS('1. All Data'!$AB$3:$AB$136,"Environment and Climate Change",'1. All Data'!$R$3:$R$136,"Deferred")</f>
        <v>0</v>
      </c>
      <c r="R33" s="216">
        <f>Q33/Q35</f>
        <v>0</v>
      </c>
      <c r="S33" s="216">
        <f>R33</f>
        <v>0</v>
      </c>
      <c r="T33" s="217"/>
      <c r="U33" s="58"/>
      <c r="W33" s="175" t="s">
        <v>29</v>
      </c>
      <c r="X33" s="208">
        <f>COUNTIFS('1. All Data'!$AB$3:$AB$136,"Environment and Climate Change",'1. All Data'!$V$3:$V$136,"Deferred")</f>
        <v>0</v>
      </c>
      <c r="Y33" s="216">
        <f>X33/X35</f>
        <v>0</v>
      </c>
      <c r="Z33" s="216">
        <f>Y33</f>
        <v>0</v>
      </c>
      <c r="AA33" s="177"/>
      <c r="AB33" s="58"/>
      <c r="AC33" s="166"/>
    </row>
    <row r="34" spans="2:29" ht="15.75" customHeight="1">
      <c r="B34" s="215" t="s">
        <v>30</v>
      </c>
      <c r="C34" s="208">
        <f>COUNTIFS('1. All Data'!$AB$3:$AB$136,"Environment and climate change",'1. All Data'!$H$3:$H$136,"Deleted")</f>
        <v>0</v>
      </c>
      <c r="D34" s="216">
        <f>C34/C35</f>
        <v>0</v>
      </c>
      <c r="E34" s="216">
        <f>D34</f>
        <v>0</v>
      </c>
      <c r="F34" s="217"/>
      <c r="G34" s="29"/>
      <c r="I34" s="215" t="s">
        <v>30</v>
      </c>
      <c r="J34" s="208">
        <f>COUNTIFS('1. All Data'!$AB$3:$AB$136,"Environment and Climate Change",'1. All Data'!$M$3:$M$136,"Deleted")</f>
        <v>0</v>
      </c>
      <c r="K34" s="216">
        <f>J34/J35</f>
        <v>0</v>
      </c>
      <c r="L34" s="216">
        <f>K34</f>
        <v>0</v>
      </c>
      <c r="M34" s="217"/>
      <c r="N34" s="29"/>
      <c r="P34" s="215" t="s">
        <v>30</v>
      </c>
      <c r="Q34" s="208">
        <f>COUNTIFS('1. All Data'!$AB$3:$AB$136,"Environment and Climate Change",'1. All Data'!$R$3:$R$136,"Deleted")</f>
        <v>0</v>
      </c>
      <c r="R34" s="216">
        <f>Q34/Q35</f>
        <v>0</v>
      </c>
      <c r="S34" s="216">
        <f>R34</f>
        <v>0</v>
      </c>
      <c r="T34" s="217"/>
      <c r="U34" s="29"/>
      <c r="W34" s="175" t="s">
        <v>30</v>
      </c>
      <c r="X34" s="208">
        <f>COUNTIFS('1. All Data'!$AB$3:$AB$136,"Environment and Climate Change",'1. All Data'!$V$3:$V$136,"Deleted")</f>
        <v>0</v>
      </c>
      <c r="Y34" s="216">
        <f>X34/X35</f>
        <v>0</v>
      </c>
      <c r="Z34" s="216">
        <f>Y34</f>
        <v>0</v>
      </c>
      <c r="AA34" s="177"/>
      <c r="AB34" s="3"/>
      <c r="AC34" s="166"/>
    </row>
    <row r="35" spans="2:29" ht="15.75" customHeight="1">
      <c r="B35" s="218" t="s">
        <v>51</v>
      </c>
      <c r="C35" s="219">
        <f>SUM(C24:C34)</f>
        <v>34</v>
      </c>
      <c r="D35" s="177"/>
      <c r="E35" s="177"/>
      <c r="F35" s="220"/>
      <c r="G35" s="58"/>
      <c r="I35" s="218" t="s">
        <v>51</v>
      </c>
      <c r="J35" s="219">
        <f>SUM(J24:J34)</f>
        <v>34</v>
      </c>
      <c r="K35" s="177"/>
      <c r="L35" s="177"/>
      <c r="M35" s="220"/>
      <c r="N35" s="58"/>
      <c r="P35" s="218" t="s">
        <v>51</v>
      </c>
      <c r="Q35" s="219">
        <f>SUM(Q24:Q34)</f>
        <v>34</v>
      </c>
      <c r="R35" s="177"/>
      <c r="S35" s="177"/>
      <c r="T35" s="220"/>
      <c r="U35" s="58"/>
      <c r="W35" s="178" t="s">
        <v>51</v>
      </c>
      <c r="X35" s="219">
        <f>SUM(X24:X34)</f>
        <v>34</v>
      </c>
      <c r="Y35" s="177"/>
      <c r="Z35" s="177"/>
      <c r="AA35" s="58"/>
      <c r="AB35" s="58"/>
      <c r="AC35" s="166"/>
    </row>
    <row r="36" spans="2:29" ht="15.75" customHeight="1">
      <c r="B36" s="218" t="s">
        <v>52</v>
      </c>
      <c r="C36" s="219">
        <f>C35-C34-C33-C32-C31</f>
        <v>18</v>
      </c>
      <c r="D36" s="58"/>
      <c r="E36" s="58"/>
      <c r="F36" s="220"/>
      <c r="G36" s="58"/>
      <c r="I36" s="218" t="s">
        <v>52</v>
      </c>
      <c r="J36" s="219">
        <f>J35-J34-J33-J32-J31</f>
        <v>31</v>
      </c>
      <c r="K36" s="58"/>
      <c r="L36" s="58"/>
      <c r="M36" s="220"/>
      <c r="N36" s="58"/>
      <c r="P36" s="218" t="s">
        <v>52</v>
      </c>
      <c r="Q36" s="219">
        <f>Q35-Q34-Q33-Q32-Q31</f>
        <v>33</v>
      </c>
      <c r="R36" s="58"/>
      <c r="S36" s="58"/>
      <c r="T36" s="220"/>
      <c r="U36" s="58"/>
      <c r="W36" s="178" t="s">
        <v>52</v>
      </c>
      <c r="X36" s="219">
        <f>X35-X34-X33-X32-X31</f>
        <v>34</v>
      </c>
      <c r="Y36" s="58"/>
      <c r="Z36" s="58"/>
      <c r="AA36" s="58"/>
      <c r="AB36" s="58"/>
      <c r="AC36" s="166"/>
    </row>
    <row r="37" spans="2:29" ht="15.75" customHeight="1">
      <c r="W37" s="180"/>
      <c r="AA37" s="2"/>
      <c r="AC37" s="166"/>
    </row>
    <row r="38" spans="2:29" ht="15.75" customHeight="1">
      <c r="W38" s="165"/>
      <c r="X38" s="165"/>
      <c r="Y38" s="165"/>
      <c r="Z38" s="165"/>
      <c r="AA38" s="165"/>
      <c r="AB38" s="186"/>
      <c r="AC38" s="166"/>
    </row>
    <row r="39" spans="2:29" s="166" customFormat="1" ht="15.75" customHeight="1">
      <c r="B39" s="187"/>
      <c r="C39" s="165"/>
      <c r="D39" s="165"/>
      <c r="E39" s="165"/>
      <c r="F39" s="220"/>
      <c r="G39" s="165"/>
      <c r="I39" s="187"/>
      <c r="J39" s="165"/>
      <c r="K39" s="165"/>
      <c r="L39" s="165"/>
      <c r="M39" s="220"/>
      <c r="N39" s="165"/>
      <c r="P39" s="187"/>
      <c r="Q39" s="165"/>
      <c r="R39" s="165"/>
      <c r="S39" s="165"/>
      <c r="T39" s="220"/>
      <c r="U39" s="165"/>
      <c r="W39" s="221"/>
      <c r="X39" s="58"/>
      <c r="Y39" s="58"/>
      <c r="Z39" s="58"/>
      <c r="AA39" s="58"/>
      <c r="AB39" s="177"/>
    </row>
    <row r="40" spans="2:29" s="166" customFormat="1" ht="15.75" customHeight="1">
      <c r="B40" s="203" t="s">
        <v>204</v>
      </c>
      <c r="C40" s="204"/>
      <c r="D40" s="204"/>
      <c r="E40" s="204"/>
      <c r="F40" s="205"/>
      <c r="G40" s="204"/>
      <c r="I40" s="203" t="s">
        <v>204</v>
      </c>
      <c r="J40" s="204"/>
      <c r="K40" s="204"/>
      <c r="L40" s="204"/>
      <c r="M40" s="205"/>
      <c r="N40" s="204"/>
      <c r="P40" s="203" t="s">
        <v>204</v>
      </c>
      <c r="Q40" s="204"/>
      <c r="R40" s="204"/>
      <c r="S40" s="204"/>
      <c r="T40" s="205"/>
      <c r="U40" s="204"/>
      <c r="W40" s="203" t="s">
        <v>204</v>
      </c>
      <c r="X40" s="204"/>
      <c r="Y40" s="204"/>
      <c r="Z40" s="204"/>
      <c r="AA40" s="205"/>
      <c r="AB40" s="204"/>
    </row>
    <row r="41" spans="2:29" ht="36" customHeight="1">
      <c r="B41" s="206" t="s">
        <v>42</v>
      </c>
      <c r="C41" s="207" t="s">
        <v>43</v>
      </c>
      <c r="D41" s="207" t="s">
        <v>44</v>
      </c>
      <c r="E41" s="207" t="s">
        <v>45</v>
      </c>
      <c r="F41" s="206" t="s">
        <v>46</v>
      </c>
      <c r="G41" s="207" t="s">
        <v>47</v>
      </c>
      <c r="I41" s="206" t="s">
        <v>42</v>
      </c>
      <c r="J41" s="207" t="s">
        <v>43</v>
      </c>
      <c r="K41" s="207" t="s">
        <v>44</v>
      </c>
      <c r="L41" s="207" t="s">
        <v>45</v>
      </c>
      <c r="M41" s="206" t="s">
        <v>46</v>
      </c>
      <c r="N41" s="207" t="s">
        <v>47</v>
      </c>
      <c r="P41" s="206" t="s">
        <v>42</v>
      </c>
      <c r="Q41" s="207" t="s">
        <v>43</v>
      </c>
      <c r="R41" s="207" t="s">
        <v>44</v>
      </c>
      <c r="S41" s="207" t="s">
        <v>45</v>
      </c>
      <c r="T41" s="206" t="s">
        <v>46</v>
      </c>
      <c r="U41" s="207" t="s">
        <v>47</v>
      </c>
      <c r="W41" s="164" t="s">
        <v>42</v>
      </c>
      <c r="X41" s="164" t="s">
        <v>43</v>
      </c>
      <c r="Y41" s="164" t="s">
        <v>44</v>
      </c>
      <c r="Z41" s="164" t="s">
        <v>45</v>
      </c>
      <c r="AA41" s="164" t="s">
        <v>46</v>
      </c>
      <c r="AB41" s="164" t="s">
        <v>47</v>
      </c>
      <c r="AC41" s="166"/>
    </row>
    <row r="42" spans="2:29" ht="18.75" customHeight="1">
      <c r="B42" s="228" t="s">
        <v>48</v>
      </c>
      <c r="C42" s="208">
        <f>COUNTIFS('1. All Data'!$AB$3:$AB$136,"Finance and treasury management",'1. All Data'!$H$3:$H$136,"Fully Achieved")</f>
        <v>0</v>
      </c>
      <c r="D42" s="209">
        <f>C42/C53</f>
        <v>0</v>
      </c>
      <c r="E42" s="435">
        <f>D42+D43</f>
        <v>0.69230769230769229</v>
      </c>
      <c r="F42" s="210">
        <f>C42/C54</f>
        <v>0</v>
      </c>
      <c r="G42" s="437">
        <f>F42+F43</f>
        <v>1</v>
      </c>
      <c r="I42" s="228" t="s">
        <v>48</v>
      </c>
      <c r="J42" s="208">
        <f>COUNTIFS('1. All Data'!$AB$3:$AB$136,"Finance and Treasury Management",'1. All Data'!$M$3:$M$136,"Fully Achieved")</f>
        <v>0</v>
      </c>
      <c r="K42" s="209">
        <f>J42/J53</f>
        <v>0</v>
      </c>
      <c r="L42" s="435">
        <f>K42+K43</f>
        <v>0.92307692307692313</v>
      </c>
      <c r="M42" s="210">
        <f>J42/J54</f>
        <v>0</v>
      </c>
      <c r="N42" s="437">
        <f>M42+M43</f>
        <v>1</v>
      </c>
      <c r="P42" s="228" t="s">
        <v>48</v>
      </c>
      <c r="Q42" s="208">
        <f>COUNTIFS('1. All Data'!$AB$3:$AB$136,"Finance and Treasury Management",'1. All Data'!$R$3:$R$136,"Fully Achieved")</f>
        <v>1</v>
      </c>
      <c r="R42" s="209">
        <f>Q42/Q53</f>
        <v>7.6923076923076927E-2</v>
      </c>
      <c r="S42" s="435">
        <f>R42+R43</f>
        <v>1</v>
      </c>
      <c r="T42" s="210">
        <f>Q42/Q54</f>
        <v>7.6923076923076927E-2</v>
      </c>
      <c r="U42" s="437">
        <f>T42+T43</f>
        <v>1</v>
      </c>
      <c r="W42" s="228" t="s">
        <v>48</v>
      </c>
      <c r="X42" s="208">
        <f>COUNTIFS('1. All Data'!$AB$3:$AB$136,"Finance and Treasury Management",'1. All Data'!$V$3:$V$136,"Fully Achieved")</f>
        <v>10</v>
      </c>
      <c r="Y42" s="209">
        <f>X42/X53</f>
        <v>0.76923076923076927</v>
      </c>
      <c r="Z42" s="435">
        <f>Y42+Y43</f>
        <v>1</v>
      </c>
      <c r="AA42" s="209">
        <f>X42/X54</f>
        <v>0.76923076923076927</v>
      </c>
      <c r="AB42" s="415">
        <f>AA42+AA43</f>
        <v>1</v>
      </c>
      <c r="AC42" s="166"/>
    </row>
    <row r="43" spans="2:29" ht="18.75" customHeight="1">
      <c r="B43" s="228" t="s">
        <v>31</v>
      </c>
      <c r="C43" s="208">
        <f>COUNTIFS('1. All Data'!$AB$3:$AB$136,"Finance and treasury management",'1. All Data'!$H$3:$H$136,"On Track to be Achieved")</f>
        <v>9</v>
      </c>
      <c r="D43" s="209">
        <f>C43/C53</f>
        <v>0.69230769230769229</v>
      </c>
      <c r="E43" s="435"/>
      <c r="F43" s="210">
        <f>C43/C54</f>
        <v>1</v>
      </c>
      <c r="G43" s="437"/>
      <c r="I43" s="228" t="s">
        <v>31</v>
      </c>
      <c r="J43" s="208">
        <f>COUNTIFS('1. All Data'!$AB$3:$AB$136,"Finance and Treasury Management",'1. All Data'!$M$3:$M$136,"On Track to be Achieved")</f>
        <v>12</v>
      </c>
      <c r="K43" s="209">
        <f>J43/J53</f>
        <v>0.92307692307692313</v>
      </c>
      <c r="L43" s="435"/>
      <c r="M43" s="210">
        <f>J43/J54</f>
        <v>1</v>
      </c>
      <c r="N43" s="437"/>
      <c r="P43" s="228" t="s">
        <v>31</v>
      </c>
      <c r="Q43" s="208">
        <f>COUNTIFS('1. All Data'!$AB$3:$AB$136,"Finance and Treasury Management",'1. All Data'!$R$3:$R$136,"On Track to be Achieved")</f>
        <v>12</v>
      </c>
      <c r="R43" s="209">
        <f>Q43/Q53</f>
        <v>0.92307692307692313</v>
      </c>
      <c r="S43" s="435"/>
      <c r="T43" s="210">
        <f>Q43/Q54</f>
        <v>0.92307692307692313</v>
      </c>
      <c r="U43" s="437"/>
      <c r="W43" s="228" t="s">
        <v>23</v>
      </c>
      <c r="X43" s="208">
        <f>COUNTIFS('1. All Data'!$AB$3:$AB$136,"Finance and Treasury Management",'1. All Data'!$V$3:$V$136,"Numerical Outturn Within 5% Tolerance")</f>
        <v>3</v>
      </c>
      <c r="Y43" s="209">
        <f>X43/X53</f>
        <v>0.23076923076923078</v>
      </c>
      <c r="Z43" s="435"/>
      <c r="AA43" s="209">
        <f>X43/X54</f>
        <v>0.23076923076923078</v>
      </c>
      <c r="AB43" s="415"/>
      <c r="AC43" s="166"/>
    </row>
    <row r="44" spans="2:29" ht="16.5" customHeight="1">
      <c r="B44" s="447" t="s">
        <v>32</v>
      </c>
      <c r="C44" s="450">
        <f>COUNTIFS('1. All Data'!$AB$3:$AB$136,"Finance and treasury management",'1. All Data'!$H$3:$H$136,"In Danger of Falling Behind Target")</f>
        <v>0</v>
      </c>
      <c r="D44" s="438">
        <f>C44/C53</f>
        <v>0</v>
      </c>
      <c r="E44" s="438">
        <f>D44</f>
        <v>0</v>
      </c>
      <c r="F44" s="441">
        <f>C44/C54</f>
        <v>0</v>
      </c>
      <c r="G44" s="444">
        <f>F44</f>
        <v>0</v>
      </c>
      <c r="I44" s="447" t="s">
        <v>32</v>
      </c>
      <c r="J44" s="450">
        <f>COUNTIFS('1. All Data'!$AB$3:$AB$136,"Finance and Treasury Management",'1. All Data'!$M$3:$M$136,"In Danger of Falling Behind Target")</f>
        <v>0</v>
      </c>
      <c r="K44" s="438">
        <f>J44/J53</f>
        <v>0</v>
      </c>
      <c r="L44" s="438">
        <f>K44</f>
        <v>0</v>
      </c>
      <c r="M44" s="441">
        <f>J44/J54</f>
        <v>0</v>
      </c>
      <c r="N44" s="444">
        <f>M44</f>
        <v>0</v>
      </c>
      <c r="P44" s="447" t="s">
        <v>32</v>
      </c>
      <c r="Q44" s="450">
        <f>COUNTIFS('1. All Data'!$AB$3:$AB$136,"Finance and Treasury Management",'1. All Data'!$R$3:$R$136,"In Danger of Falling Behind Target")</f>
        <v>0</v>
      </c>
      <c r="R44" s="438">
        <f>Q44/Q53</f>
        <v>0</v>
      </c>
      <c r="S44" s="438">
        <f>R44</f>
        <v>0</v>
      </c>
      <c r="T44" s="441">
        <f>Q44/Q54</f>
        <v>0</v>
      </c>
      <c r="U44" s="444">
        <f>T44</f>
        <v>0</v>
      </c>
      <c r="W44" s="169" t="s">
        <v>24</v>
      </c>
      <c r="X44" s="170">
        <f>COUNTIFS('1. All Data'!$AB$3:$AB$136,"Finance and Treasury Management",'1. All Data'!$V$3:$V$136,"Numerical Outturn Within 10% Tolerance")</f>
        <v>0</v>
      </c>
      <c r="Y44" s="168">
        <f>X44/X53</f>
        <v>0</v>
      </c>
      <c r="Z44" s="413">
        <f>SUM(Y44:Y46)</f>
        <v>0</v>
      </c>
      <c r="AA44" s="168">
        <f>X44/X54</f>
        <v>0</v>
      </c>
      <c r="AB44" s="422">
        <f>SUM(AA44:AA46)</f>
        <v>0</v>
      </c>
      <c r="AC44" s="166"/>
    </row>
    <row r="45" spans="2:29" ht="16.5" customHeight="1">
      <c r="B45" s="448"/>
      <c r="C45" s="451"/>
      <c r="D45" s="439"/>
      <c r="E45" s="439"/>
      <c r="F45" s="442"/>
      <c r="G45" s="445"/>
      <c r="I45" s="448"/>
      <c r="J45" s="451"/>
      <c r="K45" s="439"/>
      <c r="L45" s="439"/>
      <c r="M45" s="442"/>
      <c r="N45" s="445"/>
      <c r="P45" s="448"/>
      <c r="Q45" s="451"/>
      <c r="R45" s="439"/>
      <c r="S45" s="439"/>
      <c r="T45" s="442"/>
      <c r="U45" s="445"/>
      <c r="W45" s="169" t="s">
        <v>25</v>
      </c>
      <c r="X45" s="170">
        <f>COUNTIFS('1. All Data'!$AB$3:$AB$136,"Finance and Treasury Management",'1. All Data'!$V$3:$V$136,"Target Partially Met")</f>
        <v>0</v>
      </c>
      <c r="Y45" s="168">
        <f>X45/X53</f>
        <v>0</v>
      </c>
      <c r="Z45" s="413"/>
      <c r="AA45" s="168">
        <f>X45/X54</f>
        <v>0</v>
      </c>
      <c r="AB45" s="422"/>
      <c r="AC45" s="166"/>
    </row>
    <row r="46" spans="2:29" ht="16.5" customHeight="1">
      <c r="B46" s="449"/>
      <c r="C46" s="452"/>
      <c r="D46" s="440"/>
      <c r="E46" s="440"/>
      <c r="F46" s="443"/>
      <c r="G46" s="446"/>
      <c r="I46" s="449"/>
      <c r="J46" s="452"/>
      <c r="K46" s="440"/>
      <c r="L46" s="440"/>
      <c r="M46" s="443"/>
      <c r="N46" s="446"/>
      <c r="P46" s="449"/>
      <c r="Q46" s="452"/>
      <c r="R46" s="440"/>
      <c r="S46" s="440"/>
      <c r="T46" s="443"/>
      <c r="U46" s="446"/>
      <c r="W46" s="169" t="s">
        <v>28</v>
      </c>
      <c r="X46" s="170">
        <f>COUNTIFS('1. All Data'!$AB$3:$AB$136,"Finance and Treasury Management",'1. All Data'!$V$3:$V$136,"Completion Date Within Reasonable Tolerance")</f>
        <v>0</v>
      </c>
      <c r="Y46" s="168">
        <f>X46/X53</f>
        <v>0</v>
      </c>
      <c r="Z46" s="413"/>
      <c r="AA46" s="168">
        <f>X46/X54</f>
        <v>0</v>
      </c>
      <c r="AB46" s="422"/>
      <c r="AC46" s="166"/>
    </row>
    <row r="47" spans="2:29" ht="22.5" customHeight="1">
      <c r="B47" s="211" t="s">
        <v>33</v>
      </c>
      <c r="C47" s="208">
        <f>COUNTIFS('1. All Data'!$AB$3:$AB$136,"Finance and treasury management",'1. All Data'!$H$3:$H$136,"Completed Behind Schedule")</f>
        <v>0</v>
      </c>
      <c r="D47" s="209">
        <f>C47/C53</f>
        <v>0</v>
      </c>
      <c r="E47" s="435">
        <f>D47+D48</f>
        <v>0</v>
      </c>
      <c r="F47" s="210">
        <f>C47/C54</f>
        <v>0</v>
      </c>
      <c r="G47" s="436">
        <f>F47+F48</f>
        <v>0</v>
      </c>
      <c r="I47" s="211" t="s">
        <v>33</v>
      </c>
      <c r="J47" s="208">
        <f>COUNTIFS('1. All Data'!$AB$3:$AB$136,"Finance and Treasury Management",'1. All Data'!$M$3:$M$136,"Completed Behind Schedule")</f>
        <v>0</v>
      </c>
      <c r="K47" s="209">
        <f>J47/J53</f>
        <v>0</v>
      </c>
      <c r="L47" s="435">
        <f>K47+K48</f>
        <v>0</v>
      </c>
      <c r="M47" s="210">
        <f>J47/J54</f>
        <v>0</v>
      </c>
      <c r="N47" s="436">
        <f>M47+M48</f>
        <v>0</v>
      </c>
      <c r="P47" s="211" t="s">
        <v>33</v>
      </c>
      <c r="Q47" s="208">
        <f>COUNTIFS('1. All Data'!$AB$3:$AB$136,"Finance and Treasury Management",'1. All Data'!$R$3:$R$136,"Completed Behind Schedule")</f>
        <v>0</v>
      </c>
      <c r="R47" s="209">
        <f>Q47/Q53</f>
        <v>0</v>
      </c>
      <c r="S47" s="435">
        <f>R47+R48</f>
        <v>0</v>
      </c>
      <c r="T47" s="210">
        <f>Q47/Q54</f>
        <v>0</v>
      </c>
      <c r="U47" s="436">
        <f>T47+T48</f>
        <v>0</v>
      </c>
      <c r="W47" s="171" t="s">
        <v>27</v>
      </c>
      <c r="X47" s="208">
        <f>COUNTIFS('1. All Data'!$AB$3:$AB$136,"Finance and Treasury Management",'1. All Data'!$V$3:$V$136,"Completed Significantly After Target Deadline")</f>
        <v>0</v>
      </c>
      <c r="Y47" s="209">
        <f>X47/X53</f>
        <v>0</v>
      </c>
      <c r="Z47" s="435">
        <f>Y47+Y48</f>
        <v>0</v>
      </c>
      <c r="AA47" s="209">
        <f>X47/X54</f>
        <v>0</v>
      </c>
      <c r="AB47" s="414">
        <f>AA47+AA48</f>
        <v>0</v>
      </c>
      <c r="AC47" s="166"/>
    </row>
    <row r="48" spans="2:29" ht="22.5" customHeight="1">
      <c r="B48" s="211" t="s">
        <v>26</v>
      </c>
      <c r="C48" s="208">
        <f>COUNTIFS('1. All Data'!$AB$3:$AB$136,"Finance and treasury management",'1. All Data'!$H$3:$H$136,"Off Target")</f>
        <v>0</v>
      </c>
      <c r="D48" s="209">
        <f>C48/C53</f>
        <v>0</v>
      </c>
      <c r="E48" s="435"/>
      <c r="F48" s="210">
        <f>C48/C54</f>
        <v>0</v>
      </c>
      <c r="G48" s="436"/>
      <c r="I48" s="211" t="s">
        <v>26</v>
      </c>
      <c r="J48" s="208">
        <f>COUNTIFS('1. All Data'!$AB$3:$AB$136,"Finance and Treasury Management",'1. All Data'!$M$3:$M$136,"Off Target")</f>
        <v>0</v>
      </c>
      <c r="K48" s="209">
        <f>J48/J53</f>
        <v>0</v>
      </c>
      <c r="L48" s="435"/>
      <c r="M48" s="210">
        <f>J48/J54</f>
        <v>0</v>
      </c>
      <c r="N48" s="436"/>
      <c r="P48" s="211" t="s">
        <v>26</v>
      </c>
      <c r="Q48" s="208">
        <f>COUNTIFS('1. All Data'!$AB$3:$AB$136,"Finance and Treasury Management",'1. All Data'!$R$3:$R$136,"Off Target")</f>
        <v>0</v>
      </c>
      <c r="R48" s="209">
        <f>Q48/Q53</f>
        <v>0</v>
      </c>
      <c r="S48" s="435"/>
      <c r="T48" s="210">
        <f>Q48/Q54</f>
        <v>0</v>
      </c>
      <c r="U48" s="436"/>
      <c r="W48" s="171" t="s">
        <v>26</v>
      </c>
      <c r="X48" s="208">
        <f>COUNTIFS('1. All Data'!$AB$3:$AB$136,"Finance and Treasury Management",'1. All Data'!$V$3:$V$136,"Off Target")</f>
        <v>0</v>
      </c>
      <c r="Y48" s="209">
        <f>X48/X53</f>
        <v>0</v>
      </c>
      <c r="Z48" s="435"/>
      <c r="AA48" s="209">
        <f>X48/X54</f>
        <v>0</v>
      </c>
      <c r="AB48" s="414"/>
      <c r="AC48" s="166"/>
    </row>
    <row r="49" spans="2:29" ht="15.75" customHeight="1">
      <c r="B49" s="212" t="s">
        <v>49</v>
      </c>
      <c r="C49" s="208">
        <f>COUNTIFS('1. All Data'!$AB$3:$AB$136,"Finance and treasury management",'1. All Data'!$H$3:$H$136,"Not yet due")</f>
        <v>4</v>
      </c>
      <c r="D49" s="213">
        <f>C49/C53</f>
        <v>0.30769230769230771</v>
      </c>
      <c r="E49" s="213">
        <f>D49</f>
        <v>0.30769230769230771</v>
      </c>
      <c r="F49" s="214"/>
      <c r="G49" s="58"/>
      <c r="I49" s="212" t="s">
        <v>49</v>
      </c>
      <c r="J49" s="208">
        <f>COUNTIFS('1. All Data'!$AB$3:$AB$136,"Finance and Treasury Management",'1. All Data'!$M$3:$M$136,"Not yet due")</f>
        <v>1</v>
      </c>
      <c r="K49" s="213">
        <f>J49/J53</f>
        <v>7.6923076923076927E-2</v>
      </c>
      <c r="L49" s="213">
        <f>K49</f>
        <v>7.6923076923076927E-2</v>
      </c>
      <c r="M49" s="214"/>
      <c r="N49" s="58"/>
      <c r="P49" s="212" t="s">
        <v>49</v>
      </c>
      <c r="Q49" s="208">
        <f>COUNTIFS('1. All Data'!$AB$3:$AB$136,"Finance and Treasury Management",'1. All Data'!$R$3:$R$136,"Not yet due")</f>
        <v>0</v>
      </c>
      <c r="R49" s="213">
        <f>Q49/Q53</f>
        <v>0</v>
      </c>
      <c r="S49" s="213">
        <f>R49</f>
        <v>0</v>
      </c>
      <c r="T49" s="214"/>
      <c r="U49" s="58"/>
      <c r="W49" s="172" t="s">
        <v>49</v>
      </c>
      <c r="X49" s="208">
        <f>COUNTIFS('1. All Data'!$AB$3:$AB$136,"Finance and Treasury Management",'1. All Data'!$V$3:$V$136,"Not yet due")</f>
        <v>0</v>
      </c>
      <c r="Y49" s="213">
        <f>X49/X53</f>
        <v>0</v>
      </c>
      <c r="Z49" s="213">
        <f>Y49</f>
        <v>0</v>
      </c>
      <c r="AA49" s="174"/>
      <c r="AB49" s="58"/>
      <c r="AC49" s="166"/>
    </row>
    <row r="50" spans="2:29" ht="15.75" customHeight="1">
      <c r="B50" s="212" t="s">
        <v>21</v>
      </c>
      <c r="C50" s="208">
        <f>COUNTIFS('1. All Data'!$AB$3:$AB$136,"Finance and treasury management",'1. All Data'!$H$3:$H$136,"Update not provided")</f>
        <v>0</v>
      </c>
      <c r="D50" s="213">
        <f>C50/C53</f>
        <v>0</v>
      </c>
      <c r="E50" s="213">
        <f>D50</f>
        <v>0</v>
      </c>
      <c r="F50" s="214"/>
      <c r="G50" s="2"/>
      <c r="I50" s="212" t="s">
        <v>21</v>
      </c>
      <c r="J50" s="208">
        <f>COUNTIFS('1. All Data'!$AB$3:$AB$136,"Finance and Treasury Management",'1. All Data'!$M$3:$M$136,"Update not provided")</f>
        <v>0</v>
      </c>
      <c r="K50" s="213">
        <f>J50/J53</f>
        <v>0</v>
      </c>
      <c r="L50" s="213">
        <f>K50</f>
        <v>0</v>
      </c>
      <c r="M50" s="214"/>
      <c r="N50" s="2"/>
      <c r="P50" s="212" t="s">
        <v>21</v>
      </c>
      <c r="Q50" s="208">
        <f>COUNTIFS('1. All Data'!$AB$3:$AB$136,"Finance and Treasury Management",'1. All Data'!$R$3:$R$136,"Update not provided")</f>
        <v>0</v>
      </c>
      <c r="R50" s="213">
        <f>Q50/Q53</f>
        <v>0</v>
      </c>
      <c r="S50" s="213">
        <f>R50</f>
        <v>0</v>
      </c>
      <c r="T50" s="214"/>
      <c r="U50" s="2"/>
      <c r="W50" s="172" t="s">
        <v>21</v>
      </c>
      <c r="X50" s="208">
        <f>COUNTIFS('1. All Data'!$AB$3:$AB$136,"Finance and Treasury Management",'1. All Data'!$V$3:$V$136,"Update not provided")</f>
        <v>0</v>
      </c>
      <c r="Y50" s="213">
        <f>X50/X53</f>
        <v>0</v>
      </c>
      <c r="Z50" s="213">
        <f>Y50</f>
        <v>0</v>
      </c>
      <c r="AA50" s="174"/>
      <c r="AB50" s="2"/>
      <c r="AC50" s="166"/>
    </row>
    <row r="51" spans="2:29" ht="15.75" customHeight="1">
      <c r="B51" s="215" t="s">
        <v>29</v>
      </c>
      <c r="C51" s="208">
        <f>COUNTIFS('1. All Data'!$AB$3:$AB$136,"Finance and treasury management",'1. All Data'!$H$3:$H$136,"Deferred")</f>
        <v>0</v>
      </c>
      <c r="D51" s="216">
        <f>C51/C53</f>
        <v>0</v>
      </c>
      <c r="E51" s="216">
        <f>D51</f>
        <v>0</v>
      </c>
      <c r="F51" s="217"/>
      <c r="G51" s="58"/>
      <c r="I51" s="215" t="s">
        <v>29</v>
      </c>
      <c r="J51" s="208">
        <f>COUNTIFS('1. All Data'!$AB$3:$AB$136,"Finance and Treasury Management",'1. All Data'!$M$3:$M$136,"Deferred")</f>
        <v>0</v>
      </c>
      <c r="K51" s="216">
        <f>J51/J53</f>
        <v>0</v>
      </c>
      <c r="L51" s="216">
        <f>K51</f>
        <v>0</v>
      </c>
      <c r="M51" s="217"/>
      <c r="N51" s="58"/>
      <c r="P51" s="215" t="s">
        <v>29</v>
      </c>
      <c r="Q51" s="208">
        <f>COUNTIFS('1. All Data'!$AB$3:$AB$136,"Finance and Treasury Management",'1. All Data'!$R$3:$R$136,"Deferred")</f>
        <v>0</v>
      </c>
      <c r="R51" s="216">
        <f>Q51/Q53</f>
        <v>0</v>
      </c>
      <c r="S51" s="216">
        <f>R51</f>
        <v>0</v>
      </c>
      <c r="T51" s="217"/>
      <c r="U51" s="58"/>
      <c r="W51" s="175" t="s">
        <v>29</v>
      </c>
      <c r="X51" s="208">
        <f>COUNTIFS('1. All Data'!$AB$3:$AB$136,"Finance and Treasury Management",'1. All Data'!$V$3:$V$136,"Deferred")</f>
        <v>0</v>
      </c>
      <c r="Y51" s="216">
        <f>X51/X53</f>
        <v>0</v>
      </c>
      <c r="Z51" s="216">
        <f>Y51</f>
        <v>0</v>
      </c>
      <c r="AA51" s="177"/>
      <c r="AB51" s="58"/>
      <c r="AC51" s="166"/>
    </row>
    <row r="52" spans="2:29" ht="15.75" customHeight="1">
      <c r="B52" s="215" t="s">
        <v>30</v>
      </c>
      <c r="C52" s="208">
        <f>COUNTIFS('1. All Data'!$AB$3:$AB$136,"Finance and treasury management",'1. All Data'!$H$3:$H$136,"Deleted")</f>
        <v>0</v>
      </c>
      <c r="D52" s="216">
        <f>C52/C53</f>
        <v>0</v>
      </c>
      <c r="E52" s="216">
        <f>D52</f>
        <v>0</v>
      </c>
      <c r="F52" s="217"/>
      <c r="G52" s="29"/>
      <c r="I52" s="215" t="s">
        <v>30</v>
      </c>
      <c r="J52" s="208">
        <f>COUNTIFS('1. All Data'!$AB$3:$AB$136,"Finance and Treasury Management",'1. All Data'!$M$3:$M$136,"Deleted")</f>
        <v>0</v>
      </c>
      <c r="K52" s="216">
        <f>J52/J53</f>
        <v>0</v>
      </c>
      <c r="L52" s="216">
        <f>K52</f>
        <v>0</v>
      </c>
      <c r="M52" s="217"/>
      <c r="N52" s="29"/>
      <c r="P52" s="215" t="s">
        <v>30</v>
      </c>
      <c r="Q52" s="208">
        <f>COUNTIFS('1. All Data'!$AB$3:$AB$136,"Finance and Treasury Management",'1. All Data'!$R$3:$R$136,"Deleted")</f>
        <v>0</v>
      </c>
      <c r="R52" s="216">
        <f>Q52/Q53</f>
        <v>0</v>
      </c>
      <c r="S52" s="216">
        <f>R52</f>
        <v>0</v>
      </c>
      <c r="T52" s="217"/>
      <c r="U52" s="29"/>
      <c r="W52" s="175" t="s">
        <v>30</v>
      </c>
      <c r="X52" s="208">
        <f>COUNTIFS('1. All Data'!$AB$3:$AB$136,"Finance and Treasury Management",'1. All Data'!$V$3:$V$136,"Deleted")</f>
        <v>0</v>
      </c>
      <c r="Y52" s="216">
        <f>X52/X53</f>
        <v>0</v>
      </c>
      <c r="Z52" s="216">
        <f>Y52</f>
        <v>0</v>
      </c>
      <c r="AA52" s="177"/>
      <c r="AB52" s="3"/>
      <c r="AC52" s="166"/>
    </row>
    <row r="53" spans="2:29" ht="15.75" customHeight="1">
      <c r="B53" s="218" t="s">
        <v>51</v>
      </c>
      <c r="C53" s="219">
        <f>SUM(C42:C52)</f>
        <v>13</v>
      </c>
      <c r="D53" s="177"/>
      <c r="E53" s="177"/>
      <c r="F53" s="220"/>
      <c r="G53" s="58"/>
      <c r="I53" s="218" t="s">
        <v>51</v>
      </c>
      <c r="J53" s="219">
        <f>SUM(J42:J52)</f>
        <v>13</v>
      </c>
      <c r="K53" s="177"/>
      <c r="L53" s="177"/>
      <c r="M53" s="220"/>
      <c r="N53" s="58"/>
      <c r="P53" s="218" t="s">
        <v>51</v>
      </c>
      <c r="Q53" s="219">
        <f>SUM(Q42:Q52)</f>
        <v>13</v>
      </c>
      <c r="R53" s="177"/>
      <c r="S53" s="177"/>
      <c r="T53" s="220"/>
      <c r="U53" s="58"/>
      <c r="W53" s="178" t="s">
        <v>51</v>
      </c>
      <c r="X53" s="219">
        <f>SUM(X42:X52)</f>
        <v>13</v>
      </c>
      <c r="Y53" s="177"/>
      <c r="Z53" s="177"/>
      <c r="AA53" s="58"/>
      <c r="AB53" s="58"/>
      <c r="AC53" s="166"/>
    </row>
    <row r="54" spans="2:29" ht="15.75" customHeight="1">
      <c r="B54" s="218" t="s">
        <v>52</v>
      </c>
      <c r="C54" s="219">
        <f>C53-C52-C51-C50-C49</f>
        <v>9</v>
      </c>
      <c r="D54" s="58"/>
      <c r="E54" s="58"/>
      <c r="F54" s="220"/>
      <c r="G54" s="58"/>
      <c r="I54" s="218" t="s">
        <v>52</v>
      </c>
      <c r="J54" s="219">
        <f>J53-J52-J51-J50-J49</f>
        <v>12</v>
      </c>
      <c r="K54" s="58"/>
      <c r="L54" s="58"/>
      <c r="M54" s="220"/>
      <c r="N54" s="58"/>
      <c r="P54" s="218" t="s">
        <v>52</v>
      </c>
      <c r="Q54" s="219">
        <f>Q53-Q52-Q51-Q50-Q49</f>
        <v>13</v>
      </c>
      <c r="R54" s="58"/>
      <c r="S54" s="58"/>
      <c r="T54" s="220"/>
      <c r="U54" s="58"/>
      <c r="W54" s="178" t="s">
        <v>52</v>
      </c>
      <c r="X54" s="219">
        <f>X53-X52-X51-X50-X49</f>
        <v>13</v>
      </c>
      <c r="Y54" s="58"/>
      <c r="Z54" s="58"/>
      <c r="AA54" s="58"/>
      <c r="AB54" s="58"/>
      <c r="AC54" s="166"/>
    </row>
    <row r="55" spans="2:29" ht="15.75" customHeight="1">
      <c r="W55" s="180"/>
      <c r="AA55" s="2"/>
      <c r="AC55" s="166"/>
    </row>
    <row r="56" spans="2:29" ht="15.75" customHeight="1">
      <c r="W56" s="165"/>
      <c r="X56" s="222"/>
      <c r="Y56" s="165"/>
      <c r="Z56" s="165"/>
      <c r="AA56" s="165"/>
      <c r="AB56" s="186"/>
      <c r="AC56" s="166"/>
    </row>
    <row r="57" spans="2:29" ht="15.75" customHeight="1">
      <c r="W57" s="223"/>
      <c r="X57" s="224"/>
      <c r="Y57" s="58"/>
      <c r="Z57" s="58"/>
      <c r="AA57" s="58"/>
      <c r="AB57" s="177"/>
      <c r="AC57" s="166"/>
    </row>
    <row r="58" spans="2:29" s="166" customFormat="1" ht="15.75">
      <c r="B58" s="225" t="s">
        <v>414</v>
      </c>
      <c r="C58" s="204"/>
      <c r="D58" s="204"/>
      <c r="E58" s="204"/>
      <c r="F58" s="205"/>
      <c r="G58" s="204"/>
      <c r="I58" s="225" t="s">
        <v>414</v>
      </c>
      <c r="J58" s="204"/>
      <c r="K58" s="204"/>
      <c r="L58" s="204"/>
      <c r="M58" s="205"/>
      <c r="N58" s="204"/>
      <c r="P58" s="225" t="s">
        <v>414</v>
      </c>
      <c r="Q58" s="204"/>
      <c r="R58" s="204"/>
      <c r="S58" s="204"/>
      <c r="T58" s="205"/>
      <c r="U58" s="204"/>
      <c r="W58" s="225" t="s">
        <v>414</v>
      </c>
      <c r="X58" s="204"/>
      <c r="Y58" s="204"/>
      <c r="Z58" s="204"/>
      <c r="AA58" s="205"/>
      <c r="AB58" s="204"/>
    </row>
    <row r="59" spans="2:29" ht="41.25" customHeight="1">
      <c r="B59" s="206" t="s">
        <v>42</v>
      </c>
      <c r="C59" s="207" t="s">
        <v>43</v>
      </c>
      <c r="D59" s="207" t="s">
        <v>44</v>
      </c>
      <c r="E59" s="207" t="s">
        <v>45</v>
      </c>
      <c r="F59" s="206" t="s">
        <v>46</v>
      </c>
      <c r="G59" s="207" t="s">
        <v>47</v>
      </c>
      <c r="I59" s="206" t="s">
        <v>42</v>
      </c>
      <c r="J59" s="207" t="s">
        <v>43</v>
      </c>
      <c r="K59" s="207" t="s">
        <v>44</v>
      </c>
      <c r="L59" s="207" t="s">
        <v>45</v>
      </c>
      <c r="M59" s="206" t="s">
        <v>46</v>
      </c>
      <c r="N59" s="207" t="s">
        <v>47</v>
      </c>
      <c r="P59" s="206" t="s">
        <v>42</v>
      </c>
      <c r="Q59" s="207" t="s">
        <v>43</v>
      </c>
      <c r="R59" s="207" t="s">
        <v>44</v>
      </c>
      <c r="S59" s="207" t="s">
        <v>45</v>
      </c>
      <c r="T59" s="206" t="s">
        <v>46</v>
      </c>
      <c r="U59" s="207" t="s">
        <v>47</v>
      </c>
      <c r="W59" s="164" t="s">
        <v>42</v>
      </c>
      <c r="X59" s="164" t="s">
        <v>43</v>
      </c>
      <c r="Y59" s="164" t="s">
        <v>44</v>
      </c>
      <c r="Z59" s="164" t="s">
        <v>45</v>
      </c>
      <c r="AA59" s="164" t="s">
        <v>46</v>
      </c>
      <c r="AB59" s="164" t="s">
        <v>47</v>
      </c>
      <c r="AC59" s="166"/>
    </row>
    <row r="60" spans="2:29" ht="27.75" customHeight="1">
      <c r="B60" s="228" t="s">
        <v>48</v>
      </c>
      <c r="C60" s="208">
        <f>COUNTIFS('1. All Data'!$AB$3:$AB$136,"Leader",'1. All Data'!$H$3:$H$136,"Fully Achieved")</f>
        <v>4</v>
      </c>
      <c r="D60" s="209">
        <f>C60/C71</f>
        <v>0.26666666666666666</v>
      </c>
      <c r="E60" s="435">
        <f>D60+D61</f>
        <v>0.66666666666666674</v>
      </c>
      <c r="F60" s="210">
        <f>C60/C72</f>
        <v>0.4</v>
      </c>
      <c r="G60" s="437">
        <f>F60+F61</f>
        <v>1</v>
      </c>
      <c r="I60" s="228" t="s">
        <v>48</v>
      </c>
      <c r="J60" s="208">
        <f>COUNTIFS('1. All Data'!$AB$3:$AB$136,"Leader",'1. All Data'!$M$3:$M$136,"Fully Achieved")</f>
        <v>7</v>
      </c>
      <c r="K60" s="209">
        <f>J60/J71</f>
        <v>0.46666666666666667</v>
      </c>
      <c r="L60" s="435">
        <f>K60+K61</f>
        <v>0.93333333333333335</v>
      </c>
      <c r="M60" s="210">
        <f>J60/J72</f>
        <v>0.5</v>
      </c>
      <c r="N60" s="437">
        <f>M60+M61</f>
        <v>1</v>
      </c>
      <c r="P60" s="228" t="s">
        <v>48</v>
      </c>
      <c r="Q60" s="208">
        <f>COUNTIFS('1. All Data'!$AB$3:$AB$136,"Leader",'1. All Data'!$R$3:$R$136,"Fully Achieved")</f>
        <v>11</v>
      </c>
      <c r="R60" s="209">
        <f>Q60/Q71</f>
        <v>0.73333333333333328</v>
      </c>
      <c r="S60" s="435">
        <f>R60+R61</f>
        <v>0.93333333333333335</v>
      </c>
      <c r="T60" s="210">
        <f>Q60/Q72</f>
        <v>0.7857142857142857</v>
      </c>
      <c r="U60" s="437">
        <f>T60+T61</f>
        <v>1</v>
      </c>
      <c r="W60" s="228" t="s">
        <v>48</v>
      </c>
      <c r="X60" s="208">
        <f>COUNTIFS('1. All Data'!$AB$3:$AB$136,"Leader",'1. All Data'!$V$3:$V$136,"Fully Achieved")</f>
        <v>15</v>
      </c>
      <c r="Y60" s="209">
        <f>X60/X71</f>
        <v>1</v>
      </c>
      <c r="Z60" s="435">
        <f>Y60+Y61</f>
        <v>1</v>
      </c>
      <c r="AA60" s="209">
        <f>X60/X72</f>
        <v>1</v>
      </c>
      <c r="AB60" s="415">
        <f>AA60+AA61</f>
        <v>1</v>
      </c>
      <c r="AC60" s="166"/>
    </row>
    <row r="61" spans="2:29" ht="27.75" customHeight="1">
      <c r="B61" s="228" t="s">
        <v>31</v>
      </c>
      <c r="C61" s="208">
        <f>COUNTIFS('1. All Data'!$AB$3:$AB$136,"Leader",'1. All Data'!$H$3:$H$136,"On Track to be Achieved")</f>
        <v>6</v>
      </c>
      <c r="D61" s="209">
        <f>C61/C71</f>
        <v>0.4</v>
      </c>
      <c r="E61" s="435"/>
      <c r="F61" s="210">
        <f>C61/C72</f>
        <v>0.6</v>
      </c>
      <c r="G61" s="437"/>
      <c r="I61" s="228" t="s">
        <v>31</v>
      </c>
      <c r="J61" s="208">
        <f>COUNTIFS('1. All Data'!$AB$3:$AB$136,"Leader",'1. All Data'!$M$3:$M$136,"On Track to be Achieved")</f>
        <v>7</v>
      </c>
      <c r="K61" s="209">
        <f>J61/J71</f>
        <v>0.46666666666666667</v>
      </c>
      <c r="L61" s="435"/>
      <c r="M61" s="210">
        <f>J61/J72</f>
        <v>0.5</v>
      </c>
      <c r="N61" s="437"/>
      <c r="P61" s="228" t="s">
        <v>31</v>
      </c>
      <c r="Q61" s="208">
        <f>COUNTIFS('1. All Data'!$AB$3:$AB$136,"Leader",'1. All Data'!$R$3:$R$136,"On Track to be Achieved")</f>
        <v>3</v>
      </c>
      <c r="R61" s="209">
        <f>Q61/Q71</f>
        <v>0.2</v>
      </c>
      <c r="S61" s="435"/>
      <c r="T61" s="210">
        <f>Q61/Q72</f>
        <v>0.21428571428571427</v>
      </c>
      <c r="U61" s="437"/>
      <c r="W61" s="228" t="s">
        <v>23</v>
      </c>
      <c r="X61" s="208">
        <f>COUNTIFS('1. All Data'!$AB$3:$AB$136,"Leader",'1. All Data'!$V$3:$V$136,"Numerical Outturn Within 5% Tolerance")</f>
        <v>0</v>
      </c>
      <c r="Y61" s="209">
        <f>X61/X71</f>
        <v>0</v>
      </c>
      <c r="Z61" s="435"/>
      <c r="AA61" s="209">
        <f>X61/X72</f>
        <v>0</v>
      </c>
      <c r="AB61" s="415"/>
      <c r="AC61" s="166"/>
    </row>
    <row r="62" spans="2:29" ht="21" customHeight="1">
      <c r="B62" s="447" t="s">
        <v>32</v>
      </c>
      <c r="C62" s="450">
        <f>COUNTIFS('1. All Data'!$AB$3:$AB$136,"Leader",'1. All Data'!$H$3:$H$136,"In Danger of Falling Behind Target")</f>
        <v>0</v>
      </c>
      <c r="D62" s="438">
        <f>C62/C71</f>
        <v>0</v>
      </c>
      <c r="E62" s="438">
        <f>D62</f>
        <v>0</v>
      </c>
      <c r="F62" s="441">
        <f>C62/C72</f>
        <v>0</v>
      </c>
      <c r="G62" s="444">
        <f>F62</f>
        <v>0</v>
      </c>
      <c r="I62" s="447" t="s">
        <v>32</v>
      </c>
      <c r="J62" s="450">
        <f>COUNTIFS('1. All Data'!$AB$3:$AB$136,"Leader",'1. All Data'!$M$3:$M$136,"In Danger of Falling Behind Target")</f>
        <v>0</v>
      </c>
      <c r="K62" s="438">
        <f>J62/J71</f>
        <v>0</v>
      </c>
      <c r="L62" s="438">
        <f>K62</f>
        <v>0</v>
      </c>
      <c r="M62" s="441">
        <f>J62/J72</f>
        <v>0</v>
      </c>
      <c r="N62" s="444">
        <f>M62</f>
        <v>0</v>
      </c>
      <c r="P62" s="447" t="s">
        <v>32</v>
      </c>
      <c r="Q62" s="450">
        <f>COUNTIFS('1. All Data'!$AB$3:$AB$136,"Leader",'1. All Data'!$R$3:$R$136,"In Danger of Falling Behind Target")</f>
        <v>0</v>
      </c>
      <c r="R62" s="438">
        <f>Q62/Q71</f>
        <v>0</v>
      </c>
      <c r="S62" s="438">
        <f>R62</f>
        <v>0</v>
      </c>
      <c r="T62" s="441">
        <f>Q62/Q72</f>
        <v>0</v>
      </c>
      <c r="U62" s="444">
        <f>T62</f>
        <v>0</v>
      </c>
      <c r="W62" s="169" t="s">
        <v>24</v>
      </c>
      <c r="X62" s="170">
        <f>COUNTIFS('1. All Data'!$AB$3:$AB$136,"Leader",'1. All Data'!$V$3:$V$136,"Numerical Outturn Within 10% Tolerance")</f>
        <v>0</v>
      </c>
      <c r="Y62" s="168">
        <f>X62/X71</f>
        <v>0</v>
      </c>
      <c r="Z62" s="413">
        <f>SUM(Y62:Y64)</f>
        <v>0</v>
      </c>
      <c r="AA62" s="168">
        <f>X62/X72</f>
        <v>0</v>
      </c>
      <c r="AB62" s="422">
        <f>SUM(AA62:AA64)</f>
        <v>0</v>
      </c>
      <c r="AC62" s="166"/>
    </row>
    <row r="63" spans="2:29" ht="18.75" customHeight="1">
      <c r="B63" s="448"/>
      <c r="C63" s="451"/>
      <c r="D63" s="439"/>
      <c r="E63" s="439"/>
      <c r="F63" s="442"/>
      <c r="G63" s="445"/>
      <c r="I63" s="448"/>
      <c r="J63" s="451"/>
      <c r="K63" s="439"/>
      <c r="L63" s="439"/>
      <c r="M63" s="442"/>
      <c r="N63" s="445"/>
      <c r="P63" s="448"/>
      <c r="Q63" s="451"/>
      <c r="R63" s="439"/>
      <c r="S63" s="439"/>
      <c r="T63" s="442"/>
      <c r="U63" s="445"/>
      <c r="W63" s="169" t="s">
        <v>25</v>
      </c>
      <c r="X63" s="170">
        <f>COUNTIFS('1. All Data'!$AB$3:$AB$136,"Leader",'1. All Data'!$V$3:$V$136,"Target Partially Met")</f>
        <v>0</v>
      </c>
      <c r="Y63" s="168">
        <f>X63/X71</f>
        <v>0</v>
      </c>
      <c r="Z63" s="413"/>
      <c r="AA63" s="168">
        <f>X63/X72</f>
        <v>0</v>
      </c>
      <c r="AB63" s="422"/>
      <c r="AC63" s="166"/>
    </row>
    <row r="64" spans="2:29" ht="20.25" customHeight="1">
      <c r="B64" s="449"/>
      <c r="C64" s="452"/>
      <c r="D64" s="440"/>
      <c r="E64" s="440"/>
      <c r="F64" s="443"/>
      <c r="G64" s="446"/>
      <c r="I64" s="449"/>
      <c r="J64" s="452"/>
      <c r="K64" s="440"/>
      <c r="L64" s="440"/>
      <c r="M64" s="443"/>
      <c r="N64" s="446"/>
      <c r="P64" s="449"/>
      <c r="Q64" s="452"/>
      <c r="R64" s="440"/>
      <c r="S64" s="440"/>
      <c r="T64" s="443"/>
      <c r="U64" s="446"/>
      <c r="W64" s="169" t="s">
        <v>28</v>
      </c>
      <c r="X64" s="170">
        <f>COUNTIFS('1. All Data'!$AB$3:$AB$136,"Leader",'1. All Data'!$V$3:$V$136,"Completion Date Within Reasonable Tolerance")</f>
        <v>0</v>
      </c>
      <c r="Y64" s="168">
        <f>X64/X71</f>
        <v>0</v>
      </c>
      <c r="Z64" s="413"/>
      <c r="AA64" s="168">
        <f>X64/X72</f>
        <v>0</v>
      </c>
      <c r="AB64" s="422"/>
      <c r="AC64" s="166"/>
    </row>
    <row r="65" spans="2:29" ht="30" customHeight="1">
      <c r="B65" s="211" t="s">
        <v>33</v>
      </c>
      <c r="C65" s="208">
        <f>COUNTIFS('1. All Data'!$AB$3:$AB$136,"Leader",'1. All Data'!$H$3:$H$136,"Completed Behind Schedule")</f>
        <v>0</v>
      </c>
      <c r="D65" s="209">
        <f>C65/C71</f>
        <v>0</v>
      </c>
      <c r="E65" s="435">
        <f>D65+D66</f>
        <v>0</v>
      </c>
      <c r="F65" s="210">
        <f>C65/C72</f>
        <v>0</v>
      </c>
      <c r="G65" s="436">
        <f>F65+F66</f>
        <v>0</v>
      </c>
      <c r="I65" s="211" t="s">
        <v>33</v>
      </c>
      <c r="J65" s="208">
        <f>COUNTIFS('1. All Data'!$AB$3:$AB$136,"Leader",'1. All Data'!$M$3:$M$136,"Completed Behind Schedule")</f>
        <v>0</v>
      </c>
      <c r="K65" s="209">
        <f>J65/J71</f>
        <v>0</v>
      </c>
      <c r="L65" s="435">
        <f>K65+K66</f>
        <v>0</v>
      </c>
      <c r="M65" s="210">
        <f>J65/J72</f>
        <v>0</v>
      </c>
      <c r="N65" s="436">
        <f>M65+M66</f>
        <v>0</v>
      </c>
      <c r="P65" s="211" t="s">
        <v>33</v>
      </c>
      <c r="Q65" s="208">
        <f>COUNTIFS('1. All Data'!$AB$3:$AB$136,"Leader",'1. All Data'!$R$3:$R$136,"Completed Behind Schedule")</f>
        <v>0</v>
      </c>
      <c r="R65" s="209">
        <f>Q65/Q71</f>
        <v>0</v>
      </c>
      <c r="S65" s="435">
        <f>R65+R66</f>
        <v>0</v>
      </c>
      <c r="T65" s="210">
        <f>Q65/Q72</f>
        <v>0</v>
      </c>
      <c r="U65" s="436">
        <f>T65+T66</f>
        <v>0</v>
      </c>
      <c r="W65" s="171" t="s">
        <v>27</v>
      </c>
      <c r="X65" s="208">
        <f>COUNTIFS('1. All Data'!$AB$3:$AB$136,"Leader",'1. All Data'!$V$3:$V$136,"Completed Significantly After Target Deadline")</f>
        <v>0</v>
      </c>
      <c r="Y65" s="209">
        <f>X65/X71</f>
        <v>0</v>
      </c>
      <c r="Z65" s="435">
        <f>Y65+Y66</f>
        <v>0</v>
      </c>
      <c r="AA65" s="168">
        <f>X65/X72</f>
        <v>0</v>
      </c>
      <c r="AB65" s="414">
        <f>AA65+AA66</f>
        <v>0</v>
      </c>
      <c r="AC65" s="166"/>
    </row>
    <row r="66" spans="2:29" ht="30" customHeight="1">
      <c r="B66" s="211" t="s">
        <v>26</v>
      </c>
      <c r="C66" s="208">
        <f>COUNTIFS('1. All Data'!$AB$3:$AB$136,"Leader",'1. All Data'!$H$3:$H$136,"Off Target")</f>
        <v>0</v>
      </c>
      <c r="D66" s="209">
        <f>C66/C71</f>
        <v>0</v>
      </c>
      <c r="E66" s="435"/>
      <c r="F66" s="210">
        <f>C66/C72</f>
        <v>0</v>
      </c>
      <c r="G66" s="436"/>
      <c r="I66" s="211" t="s">
        <v>26</v>
      </c>
      <c r="J66" s="208">
        <f>COUNTIFS('1. All Data'!$AB$3:$AB$136,"Leader",'1. All Data'!$M$3:$M$136,"Off Target")</f>
        <v>0</v>
      </c>
      <c r="K66" s="209">
        <f>J66/J71</f>
        <v>0</v>
      </c>
      <c r="L66" s="435"/>
      <c r="M66" s="210">
        <f>J66/J72</f>
        <v>0</v>
      </c>
      <c r="N66" s="436"/>
      <c r="P66" s="211" t="s">
        <v>26</v>
      </c>
      <c r="Q66" s="208">
        <f>COUNTIFS('1. All Data'!$AB$3:$AB$136,"Leader",'1. All Data'!$R$3:$R$136,"Off Target")</f>
        <v>0</v>
      </c>
      <c r="R66" s="209">
        <f>Q66/Q71</f>
        <v>0</v>
      </c>
      <c r="S66" s="435"/>
      <c r="T66" s="210">
        <f>Q66/Q72</f>
        <v>0</v>
      </c>
      <c r="U66" s="436"/>
      <c r="W66" s="171" t="s">
        <v>26</v>
      </c>
      <c r="X66" s="208">
        <f>COUNTIFS('1. All Data'!$AB$3:$AB$136,"Leader",'1. All Data'!$V$3:$V$136,"Off Target")</f>
        <v>0</v>
      </c>
      <c r="Y66" s="209">
        <f>X66/X71</f>
        <v>0</v>
      </c>
      <c r="Z66" s="435"/>
      <c r="AA66" s="168">
        <f>X66/X72</f>
        <v>0</v>
      </c>
      <c r="AB66" s="414"/>
      <c r="AC66" s="166"/>
    </row>
    <row r="67" spans="2:29" ht="15.75" customHeight="1">
      <c r="B67" s="212" t="s">
        <v>49</v>
      </c>
      <c r="C67" s="208">
        <f>COUNTIFS('1. All Data'!$AB$3:$AB$136,"Leader",'1. All Data'!$H$3:$H$136,"Not yet due")</f>
        <v>5</v>
      </c>
      <c r="D67" s="213">
        <f>C67/C71</f>
        <v>0.33333333333333331</v>
      </c>
      <c r="E67" s="213">
        <f>D67</f>
        <v>0.33333333333333331</v>
      </c>
      <c r="F67" s="214"/>
      <c r="G67" s="58"/>
      <c r="I67" s="212" t="s">
        <v>49</v>
      </c>
      <c r="J67" s="208">
        <f>COUNTIFS('1. All Data'!$AB$3:$AB$136,"Leader",'1. All Data'!$M$3:$M$136,"Not yet due")</f>
        <v>1</v>
      </c>
      <c r="K67" s="213">
        <f>J67/J71</f>
        <v>6.6666666666666666E-2</v>
      </c>
      <c r="L67" s="213">
        <f>K67</f>
        <v>6.6666666666666666E-2</v>
      </c>
      <c r="M67" s="214"/>
      <c r="N67" s="58"/>
      <c r="P67" s="212" t="s">
        <v>49</v>
      </c>
      <c r="Q67" s="208">
        <f>COUNTIFS('1. All Data'!$AB$3:$AB$136,"Leader",'1. All Data'!$R$3:$R$136,"Not yet due")</f>
        <v>1</v>
      </c>
      <c r="R67" s="213">
        <f>Q67/Q71</f>
        <v>6.6666666666666666E-2</v>
      </c>
      <c r="S67" s="213">
        <f>R67</f>
        <v>6.6666666666666666E-2</v>
      </c>
      <c r="T67" s="214"/>
      <c r="U67" s="58"/>
      <c r="W67" s="172" t="s">
        <v>49</v>
      </c>
      <c r="X67" s="208">
        <f>COUNTIFS('1. All Data'!$AB$3:$AB$136,"Leader",'1. All Data'!$V$3:$V$136,"Not yet due")</f>
        <v>0</v>
      </c>
      <c r="Y67" s="213">
        <f>X67/X71</f>
        <v>0</v>
      </c>
      <c r="Z67" s="213">
        <f>Y67</f>
        <v>0</v>
      </c>
      <c r="AA67" s="174"/>
      <c r="AB67" s="58"/>
      <c r="AC67" s="166"/>
    </row>
    <row r="68" spans="2:29" ht="15.75" customHeight="1">
      <c r="B68" s="212" t="s">
        <v>21</v>
      </c>
      <c r="C68" s="208">
        <f>COUNTIFS('1. All Data'!$AB$3:$AB$136,"Leader",'1. All Data'!$H$3:$H$136,"Update not provided")</f>
        <v>0</v>
      </c>
      <c r="D68" s="213">
        <f>C68/C71</f>
        <v>0</v>
      </c>
      <c r="E68" s="213">
        <f>D68</f>
        <v>0</v>
      </c>
      <c r="F68" s="214"/>
      <c r="G68" s="2"/>
      <c r="I68" s="212" t="s">
        <v>21</v>
      </c>
      <c r="J68" s="208">
        <f>COUNTIFS('1. All Data'!$AB$3:$AB$136,"Leader",'1. All Data'!$M$3:$M$136,"Update not provided")</f>
        <v>0</v>
      </c>
      <c r="K68" s="213">
        <f>J68/J71</f>
        <v>0</v>
      </c>
      <c r="L68" s="213">
        <f>K68</f>
        <v>0</v>
      </c>
      <c r="M68" s="214"/>
      <c r="N68" s="2"/>
      <c r="P68" s="212" t="s">
        <v>21</v>
      </c>
      <c r="Q68" s="208">
        <f>COUNTIFS('1. All Data'!$AB$3:$AB$136,"Leader",'1. All Data'!$R$3:$R$136,"Update not provided")</f>
        <v>0</v>
      </c>
      <c r="R68" s="213">
        <f>Q68/Q71</f>
        <v>0</v>
      </c>
      <c r="S68" s="213">
        <f>R68</f>
        <v>0</v>
      </c>
      <c r="T68" s="214"/>
      <c r="U68" s="2"/>
      <c r="W68" s="172" t="s">
        <v>21</v>
      </c>
      <c r="X68" s="208">
        <f>COUNTIFS('1. All Data'!$AB$3:$AB$136,"Leader",'1. All Data'!$V$3:$V$136,"Update not provided")</f>
        <v>0</v>
      </c>
      <c r="Y68" s="213">
        <f>X68/X71</f>
        <v>0</v>
      </c>
      <c r="Z68" s="213">
        <f>Y68</f>
        <v>0</v>
      </c>
      <c r="AA68" s="174"/>
      <c r="AB68" s="2"/>
      <c r="AC68" s="166"/>
    </row>
    <row r="69" spans="2:29" ht="15.75" customHeight="1">
      <c r="B69" s="215" t="s">
        <v>29</v>
      </c>
      <c r="C69" s="208">
        <f>COUNTIFS('1. All Data'!$AB$3:$AB$136,"Leader",'1. All Data'!$H$3:$H$136,"Deferred")</f>
        <v>0</v>
      </c>
      <c r="D69" s="216">
        <f>C69/C71</f>
        <v>0</v>
      </c>
      <c r="E69" s="216">
        <f>D69</f>
        <v>0</v>
      </c>
      <c r="F69" s="217"/>
      <c r="G69" s="58"/>
      <c r="I69" s="215" t="s">
        <v>29</v>
      </c>
      <c r="J69" s="208">
        <f>COUNTIFS('1. All Data'!$AB$3:$AB$136,"Leader",'1. All Data'!$M$3:$M$136,"Deferred")</f>
        <v>0</v>
      </c>
      <c r="K69" s="216">
        <f>J69/J71</f>
        <v>0</v>
      </c>
      <c r="L69" s="216">
        <f>K69</f>
        <v>0</v>
      </c>
      <c r="M69" s="217"/>
      <c r="N69" s="58"/>
      <c r="P69" s="215" t="s">
        <v>29</v>
      </c>
      <c r="Q69" s="208">
        <f>COUNTIFS('1. All Data'!$AB$3:$AB$136,"Leader",'1. All Data'!$R$3:$R$136,"Deferred")</f>
        <v>0</v>
      </c>
      <c r="R69" s="216">
        <f>Q69/Q71</f>
        <v>0</v>
      </c>
      <c r="S69" s="216">
        <f>R69</f>
        <v>0</v>
      </c>
      <c r="T69" s="217"/>
      <c r="U69" s="58"/>
      <c r="W69" s="175" t="s">
        <v>29</v>
      </c>
      <c r="X69" s="208">
        <f>COUNTIFS('1. All Data'!$AB$3:$AB$136,"Leader",'1. All Data'!$V$3:$V$136,"Deferred")</f>
        <v>0</v>
      </c>
      <c r="Y69" s="216">
        <f>X69/X71</f>
        <v>0</v>
      </c>
      <c r="Z69" s="216">
        <f>Y69</f>
        <v>0</v>
      </c>
      <c r="AA69" s="177"/>
      <c r="AB69" s="58"/>
      <c r="AC69" s="166"/>
    </row>
    <row r="70" spans="2:29" ht="15.75" customHeight="1">
      <c r="B70" s="215" t="s">
        <v>30</v>
      </c>
      <c r="C70" s="208">
        <f>COUNTIFS('1. All Data'!$AB$3:$AB$136,"Leader",'1. All Data'!$H$3:$H$136,"Deleted")</f>
        <v>0</v>
      </c>
      <c r="D70" s="216">
        <f>C70/C71</f>
        <v>0</v>
      </c>
      <c r="E70" s="216">
        <f>D70</f>
        <v>0</v>
      </c>
      <c r="F70" s="217"/>
      <c r="G70" s="29"/>
      <c r="I70" s="215" t="s">
        <v>30</v>
      </c>
      <c r="J70" s="208">
        <f>COUNTIFS('1. All Data'!$AB$3:$AB$136,"Leader",'1. All Data'!$M$3:$M$136,"Deleted")</f>
        <v>0</v>
      </c>
      <c r="K70" s="216">
        <f>J70/J71</f>
        <v>0</v>
      </c>
      <c r="L70" s="216">
        <f>K70</f>
        <v>0</v>
      </c>
      <c r="M70" s="217"/>
      <c r="N70" s="29"/>
      <c r="P70" s="215" t="s">
        <v>30</v>
      </c>
      <c r="Q70" s="208">
        <f>COUNTIFS('1. All Data'!$AB$3:$AB$136,"Leader",'1. All Data'!$R$3:$R$136,"Deleted")</f>
        <v>0</v>
      </c>
      <c r="R70" s="216">
        <f>Q70/Q71</f>
        <v>0</v>
      </c>
      <c r="S70" s="216">
        <f>R70</f>
        <v>0</v>
      </c>
      <c r="T70" s="217"/>
      <c r="U70" s="29"/>
      <c r="W70" s="175" t="s">
        <v>30</v>
      </c>
      <c r="X70" s="208">
        <f>COUNTIFS('1. All Data'!$AB$3:$AB$136,"Leader",'1. All Data'!$V$3:$V$136,"Deleted")</f>
        <v>0</v>
      </c>
      <c r="Y70" s="216">
        <f>X70/X71</f>
        <v>0</v>
      </c>
      <c r="Z70" s="216">
        <f>Y70</f>
        <v>0</v>
      </c>
      <c r="AA70" s="177"/>
      <c r="AB70" s="3"/>
      <c r="AC70" s="166"/>
    </row>
    <row r="71" spans="2:29" ht="15.75" customHeight="1">
      <c r="B71" s="218" t="s">
        <v>51</v>
      </c>
      <c r="C71" s="219">
        <f>SUM(C60:C70)</f>
        <v>15</v>
      </c>
      <c r="D71" s="177"/>
      <c r="E71" s="177"/>
      <c r="F71" s="220"/>
      <c r="G71" s="58"/>
      <c r="I71" s="218" t="s">
        <v>51</v>
      </c>
      <c r="J71" s="219">
        <f>SUM(J60:J70)</f>
        <v>15</v>
      </c>
      <c r="K71" s="177"/>
      <c r="L71" s="177"/>
      <c r="M71" s="220"/>
      <c r="N71" s="58"/>
      <c r="P71" s="218" t="s">
        <v>51</v>
      </c>
      <c r="Q71" s="219">
        <f>SUM(Q60:Q70)</f>
        <v>15</v>
      </c>
      <c r="R71" s="177"/>
      <c r="S71" s="177"/>
      <c r="T71" s="220"/>
      <c r="U71" s="58"/>
      <c r="W71" s="178" t="s">
        <v>51</v>
      </c>
      <c r="X71" s="219">
        <f>SUM(X60:X70)</f>
        <v>15</v>
      </c>
      <c r="Y71" s="177"/>
      <c r="Z71" s="177"/>
      <c r="AA71" s="58"/>
      <c r="AB71" s="58"/>
      <c r="AC71" s="166"/>
    </row>
    <row r="72" spans="2:29" ht="15.75" customHeight="1">
      <c r="B72" s="218" t="s">
        <v>52</v>
      </c>
      <c r="C72" s="219">
        <f>C71-C70-C69-C68-C67</f>
        <v>10</v>
      </c>
      <c r="D72" s="58"/>
      <c r="E72" s="58"/>
      <c r="F72" s="220"/>
      <c r="G72" s="58"/>
      <c r="I72" s="218" t="s">
        <v>52</v>
      </c>
      <c r="J72" s="219">
        <f>J71-J70-J69-J68-J67</f>
        <v>14</v>
      </c>
      <c r="K72" s="58"/>
      <c r="L72" s="58"/>
      <c r="M72" s="220"/>
      <c r="N72" s="58"/>
      <c r="P72" s="218" t="s">
        <v>52</v>
      </c>
      <c r="Q72" s="219">
        <f>Q71-Q70-Q69-Q68-Q67</f>
        <v>14</v>
      </c>
      <c r="R72" s="58"/>
      <c r="S72" s="58"/>
      <c r="T72" s="220"/>
      <c r="U72" s="58"/>
      <c r="W72" s="178" t="s">
        <v>52</v>
      </c>
      <c r="X72" s="219">
        <f>X71-X70-X69-X68-X67</f>
        <v>15</v>
      </c>
      <c r="Y72" s="58"/>
      <c r="Z72" s="58"/>
      <c r="AA72" s="58"/>
      <c r="AB72" s="58"/>
      <c r="AC72" s="166"/>
    </row>
    <row r="73" spans="2:29" ht="15.75" customHeight="1">
      <c r="W73" s="180"/>
      <c r="AA73" s="2"/>
      <c r="AC73" s="166"/>
    </row>
    <row r="74" spans="2:29" ht="15.75" customHeight="1">
      <c r="W74" s="165"/>
      <c r="X74" s="165"/>
      <c r="Y74" s="165"/>
      <c r="Z74" s="165"/>
      <c r="AA74" s="165"/>
      <c r="AB74" s="186"/>
      <c r="AC74" s="166"/>
    </row>
    <row r="75" spans="2:29" s="166" customFormat="1" ht="15.75" customHeight="1">
      <c r="B75" s="187"/>
      <c r="C75" s="165"/>
      <c r="D75" s="165"/>
      <c r="E75" s="165"/>
      <c r="F75" s="220"/>
      <c r="G75" s="165"/>
      <c r="I75" s="187"/>
      <c r="J75" s="165"/>
      <c r="K75" s="165"/>
      <c r="L75" s="165"/>
      <c r="M75" s="220"/>
      <c r="N75" s="165"/>
      <c r="P75" s="187"/>
      <c r="Q75" s="165"/>
      <c r="R75" s="165"/>
      <c r="S75" s="165"/>
      <c r="T75" s="220"/>
      <c r="U75" s="165"/>
      <c r="W75" s="165"/>
      <c r="X75" s="165"/>
      <c r="Y75" s="165"/>
      <c r="Z75" s="165"/>
      <c r="AA75" s="165"/>
      <c r="AB75" s="186"/>
    </row>
    <row r="76" spans="2:29" s="166" customFormat="1" ht="15.75">
      <c r="B76" s="225" t="s">
        <v>201</v>
      </c>
      <c r="C76" s="204"/>
      <c r="D76" s="204"/>
      <c r="E76" s="204"/>
      <c r="F76" s="205"/>
      <c r="G76" s="204"/>
      <c r="I76" s="225" t="s">
        <v>201</v>
      </c>
      <c r="J76" s="204"/>
      <c r="K76" s="204"/>
      <c r="L76" s="204"/>
      <c r="M76" s="205"/>
      <c r="N76" s="204"/>
      <c r="P76" s="225" t="s">
        <v>201</v>
      </c>
      <c r="Q76" s="204"/>
      <c r="R76" s="204"/>
      <c r="S76" s="204"/>
      <c r="T76" s="205"/>
      <c r="U76" s="204"/>
      <c r="W76" s="225" t="s">
        <v>201</v>
      </c>
      <c r="X76" s="204"/>
      <c r="Y76" s="204"/>
      <c r="Z76" s="204"/>
      <c r="AA76" s="205"/>
      <c r="AB76" s="204"/>
    </row>
    <row r="77" spans="2:29" ht="36" customHeight="1">
      <c r="B77" s="206" t="s">
        <v>42</v>
      </c>
      <c r="C77" s="207" t="s">
        <v>43</v>
      </c>
      <c r="D77" s="207" t="s">
        <v>44</v>
      </c>
      <c r="E77" s="207" t="s">
        <v>45</v>
      </c>
      <c r="F77" s="206" t="s">
        <v>46</v>
      </c>
      <c r="G77" s="207" t="s">
        <v>47</v>
      </c>
      <c r="I77" s="206" t="s">
        <v>42</v>
      </c>
      <c r="J77" s="207" t="s">
        <v>43</v>
      </c>
      <c r="K77" s="207" t="s">
        <v>44</v>
      </c>
      <c r="L77" s="207" t="s">
        <v>45</v>
      </c>
      <c r="M77" s="206" t="s">
        <v>46</v>
      </c>
      <c r="N77" s="207" t="s">
        <v>47</v>
      </c>
      <c r="P77" s="206" t="s">
        <v>42</v>
      </c>
      <c r="Q77" s="207" t="s">
        <v>43</v>
      </c>
      <c r="R77" s="207" t="s">
        <v>44</v>
      </c>
      <c r="S77" s="207" t="s">
        <v>45</v>
      </c>
      <c r="T77" s="206" t="s">
        <v>46</v>
      </c>
      <c r="U77" s="207" t="s">
        <v>47</v>
      </c>
      <c r="W77" s="164" t="s">
        <v>42</v>
      </c>
      <c r="X77" s="164" t="s">
        <v>43</v>
      </c>
      <c r="Y77" s="164" t="s">
        <v>44</v>
      </c>
      <c r="Z77" s="164" t="s">
        <v>45</v>
      </c>
      <c r="AA77" s="164" t="s">
        <v>46</v>
      </c>
      <c r="AB77" s="164" t="s">
        <v>47</v>
      </c>
      <c r="AC77" s="166"/>
    </row>
    <row r="78" spans="2:29" ht="18.75" customHeight="1">
      <c r="B78" s="228" t="s">
        <v>48</v>
      </c>
      <c r="C78" s="208">
        <f>COUNTIFS('1. All Data'!$AB$3:$AB$136,"Regeneration and Development",'1. All Data'!$H$3:$H$136,"Fully Achieved")</f>
        <v>0</v>
      </c>
      <c r="D78" s="209">
        <f>C78/C89</f>
        <v>0</v>
      </c>
      <c r="E78" s="435">
        <f>D78+D79</f>
        <v>0.64</v>
      </c>
      <c r="F78" s="210">
        <f>C78/C90</f>
        <v>0</v>
      </c>
      <c r="G78" s="437">
        <f>F78+F79</f>
        <v>0.88888888888888884</v>
      </c>
      <c r="I78" s="228" t="s">
        <v>48</v>
      </c>
      <c r="J78" s="208">
        <f>COUNTIFS('1. All Data'!$AB$3:$AB$136,"Regeneration and Development",'1. All Data'!$M$3:$M$136,"Fully Achieved")</f>
        <v>8</v>
      </c>
      <c r="K78" s="209">
        <f>J78/J89</f>
        <v>0.32</v>
      </c>
      <c r="L78" s="435">
        <f>K78+K79</f>
        <v>0.8</v>
      </c>
      <c r="M78" s="210">
        <f>J78/J90</f>
        <v>0.36363636363636365</v>
      </c>
      <c r="N78" s="437">
        <f>M78+M79</f>
        <v>0.90909090909090906</v>
      </c>
      <c r="P78" s="228" t="s">
        <v>48</v>
      </c>
      <c r="Q78" s="208">
        <f>COUNTIFS('1. All Data'!$AB$3:$AB$136,"Regeneration and Development",'1. All Data'!$R$3:$R$136,"Fully Achieved")</f>
        <v>12</v>
      </c>
      <c r="R78" s="209">
        <f>Q78/Q89</f>
        <v>0.48</v>
      </c>
      <c r="S78" s="435">
        <f>R78+R79</f>
        <v>0.8</v>
      </c>
      <c r="T78" s="210">
        <f>Q78/Q90</f>
        <v>0.52173913043478259</v>
      </c>
      <c r="U78" s="437">
        <f>T78+T79</f>
        <v>0.86956521739130432</v>
      </c>
      <c r="W78" s="228" t="s">
        <v>48</v>
      </c>
      <c r="X78" s="208">
        <f>COUNTIFS('1. All Data'!$AB$3:$AB$136,"Regeneration and Development",'1. All Data'!$V$3:$V$136,"Fully Achieved")</f>
        <v>20</v>
      </c>
      <c r="Y78" s="209">
        <f>X78/X89</f>
        <v>0.8</v>
      </c>
      <c r="Z78" s="435">
        <f>Y78+Y79</f>
        <v>0.88</v>
      </c>
      <c r="AA78" s="209">
        <f>X78/X90</f>
        <v>0.83333333333333337</v>
      </c>
      <c r="AB78" s="415">
        <f>AA78+AA79</f>
        <v>0.91666666666666674</v>
      </c>
      <c r="AC78" s="166"/>
    </row>
    <row r="79" spans="2:29" ht="18.75" customHeight="1">
      <c r="B79" s="228" t="s">
        <v>31</v>
      </c>
      <c r="C79" s="208">
        <f>COUNTIFS('1. All Data'!$AB$3:$AB$136,"Regeneration and Development",'1. All Data'!$H$3:$H$136,"On Track to be Achieved")</f>
        <v>16</v>
      </c>
      <c r="D79" s="209">
        <f>C79/C89</f>
        <v>0.64</v>
      </c>
      <c r="E79" s="435"/>
      <c r="F79" s="210">
        <f>C79/C90</f>
        <v>0.88888888888888884</v>
      </c>
      <c r="G79" s="437"/>
      <c r="I79" s="228" t="s">
        <v>31</v>
      </c>
      <c r="J79" s="208">
        <f>COUNTIFS('1. All Data'!$AB$3:$AB$136,"Regeneration and Development",'1. All Data'!$M$3:$M$136,"On Track to be Achieved")</f>
        <v>12</v>
      </c>
      <c r="K79" s="209">
        <f>J79/J89</f>
        <v>0.48</v>
      </c>
      <c r="L79" s="435"/>
      <c r="M79" s="210">
        <f>J79/J90</f>
        <v>0.54545454545454541</v>
      </c>
      <c r="N79" s="437"/>
      <c r="P79" s="228" t="s">
        <v>31</v>
      </c>
      <c r="Q79" s="208">
        <f>COUNTIFS('1. All Data'!$AB$3:$AB$136,"Regeneration and Development",'1. All Data'!$R$3:$R$136,"On Track to be Achieved")</f>
        <v>8</v>
      </c>
      <c r="R79" s="209">
        <f>Q79/Q89</f>
        <v>0.32</v>
      </c>
      <c r="S79" s="435"/>
      <c r="T79" s="210">
        <f>Q79/Q90</f>
        <v>0.34782608695652173</v>
      </c>
      <c r="U79" s="437"/>
      <c r="W79" s="228" t="s">
        <v>23</v>
      </c>
      <c r="X79" s="208">
        <f>COUNTIFS('1. All Data'!$AB$3:$AB$136,"Regeneration and Development",'1. All Data'!$V$3:$V$136,"Numerical Outturn Within 5% Tolerance")</f>
        <v>2</v>
      </c>
      <c r="Y79" s="209">
        <f>X79/X89</f>
        <v>0.08</v>
      </c>
      <c r="Z79" s="435"/>
      <c r="AA79" s="209">
        <f>X79/X90</f>
        <v>8.3333333333333329E-2</v>
      </c>
      <c r="AB79" s="415"/>
      <c r="AC79" s="166"/>
    </row>
    <row r="80" spans="2:29" ht="16.5" customHeight="1">
      <c r="B80" s="447" t="s">
        <v>32</v>
      </c>
      <c r="C80" s="450">
        <f>COUNTIFS('1. All Data'!$AB$3:$AB$136,"Regeneration and Development",'1. All Data'!$H$3:$H$136,"In Danger of Falling Behind Target")</f>
        <v>2</v>
      </c>
      <c r="D80" s="438">
        <f>C80/C89</f>
        <v>0.08</v>
      </c>
      <c r="E80" s="438">
        <f>D80</f>
        <v>0.08</v>
      </c>
      <c r="F80" s="441">
        <f>C80/C90</f>
        <v>0.1111111111111111</v>
      </c>
      <c r="G80" s="444">
        <f>F80</f>
        <v>0.1111111111111111</v>
      </c>
      <c r="I80" s="447" t="s">
        <v>32</v>
      </c>
      <c r="J80" s="450">
        <f>COUNTIFS('1. All Data'!$AB$3:$AB$136,"Regeneration and Development",'1. All Data'!$M$3:$M$136,"In Danger of Falling Behind Target")</f>
        <v>0</v>
      </c>
      <c r="K80" s="438">
        <f>J80/J89</f>
        <v>0</v>
      </c>
      <c r="L80" s="438">
        <f>K80</f>
        <v>0</v>
      </c>
      <c r="M80" s="441">
        <f>J80/J90</f>
        <v>0</v>
      </c>
      <c r="N80" s="444">
        <f>M80</f>
        <v>0</v>
      </c>
      <c r="P80" s="447" t="s">
        <v>32</v>
      </c>
      <c r="Q80" s="450">
        <f>COUNTIFS('1. All Data'!$AB$3:$AB$136,"Regeneration and Development",'1. All Data'!$R$3:$R$136,"In Danger of Falling Behind Target")</f>
        <v>1</v>
      </c>
      <c r="R80" s="438">
        <f>Q80/Q89</f>
        <v>0.04</v>
      </c>
      <c r="S80" s="438">
        <f>R80</f>
        <v>0.04</v>
      </c>
      <c r="T80" s="441">
        <f>Q80/Q90</f>
        <v>4.3478260869565216E-2</v>
      </c>
      <c r="U80" s="444">
        <f>T80</f>
        <v>4.3478260869565216E-2</v>
      </c>
      <c r="W80" s="169" t="s">
        <v>24</v>
      </c>
      <c r="X80" s="170">
        <f>COUNTIFS('1. All Data'!$AB$3:$AB$136,"Regeneration and Development",'1. All Data'!$V$3:$V$136,"Numerical Outturn Within 10% Tolerance")</f>
        <v>0</v>
      </c>
      <c r="Y80" s="168">
        <f>X80/X89</f>
        <v>0</v>
      </c>
      <c r="Z80" s="413">
        <f>SUM(Y80:Y82)</f>
        <v>0.04</v>
      </c>
      <c r="AA80" s="168">
        <f>X80/X90</f>
        <v>0</v>
      </c>
      <c r="AB80" s="422">
        <f>SUM(AA80:AA82)</f>
        <v>4.1666666666666664E-2</v>
      </c>
      <c r="AC80" s="166"/>
    </row>
    <row r="81" spans="2:29" ht="16.5" customHeight="1">
      <c r="B81" s="448"/>
      <c r="C81" s="451"/>
      <c r="D81" s="439"/>
      <c r="E81" s="439"/>
      <c r="F81" s="442"/>
      <c r="G81" s="445"/>
      <c r="I81" s="448"/>
      <c r="J81" s="451"/>
      <c r="K81" s="439"/>
      <c r="L81" s="439"/>
      <c r="M81" s="442"/>
      <c r="N81" s="445"/>
      <c r="P81" s="448"/>
      <c r="Q81" s="451"/>
      <c r="R81" s="439"/>
      <c r="S81" s="439"/>
      <c r="T81" s="442"/>
      <c r="U81" s="445"/>
      <c r="W81" s="169" t="s">
        <v>25</v>
      </c>
      <c r="X81" s="170">
        <f>COUNTIFS('1. All Data'!$AB$3:$AB$136,"Regeneration and Development",'1. All Data'!$V$3:$V$136,"Target Partially Met")</f>
        <v>0</v>
      </c>
      <c r="Y81" s="168">
        <f>X81/X89</f>
        <v>0</v>
      </c>
      <c r="Z81" s="413"/>
      <c r="AA81" s="168">
        <f>X81/X90</f>
        <v>0</v>
      </c>
      <c r="AB81" s="422"/>
      <c r="AC81" s="166"/>
    </row>
    <row r="82" spans="2:29" ht="16.5" customHeight="1">
      <c r="B82" s="449"/>
      <c r="C82" s="452"/>
      <c r="D82" s="440"/>
      <c r="E82" s="440"/>
      <c r="F82" s="443"/>
      <c r="G82" s="446"/>
      <c r="I82" s="449"/>
      <c r="J82" s="452"/>
      <c r="K82" s="440"/>
      <c r="L82" s="440"/>
      <c r="M82" s="443"/>
      <c r="N82" s="446"/>
      <c r="P82" s="449"/>
      <c r="Q82" s="452"/>
      <c r="R82" s="440"/>
      <c r="S82" s="440"/>
      <c r="T82" s="443"/>
      <c r="U82" s="446"/>
      <c r="W82" s="169" t="s">
        <v>28</v>
      </c>
      <c r="X82" s="170">
        <f>COUNTIFS('1. All Data'!$AB$3:$AB$136,"Regeneration and Development",'1. All Data'!$V$3:$V$136,"Completion Date Within Reasonable Tolerance")</f>
        <v>1</v>
      </c>
      <c r="Y82" s="168">
        <f>X82/X89</f>
        <v>0.04</v>
      </c>
      <c r="Z82" s="413"/>
      <c r="AA82" s="168">
        <f>X82/X90</f>
        <v>4.1666666666666664E-2</v>
      </c>
      <c r="AB82" s="422"/>
      <c r="AC82" s="166"/>
    </row>
    <row r="83" spans="2:29" ht="22.5" customHeight="1">
      <c r="B83" s="211" t="s">
        <v>33</v>
      </c>
      <c r="C83" s="208">
        <f>COUNTIFS('1. All Data'!$AB$3:$AB$136,"Regeneration and Development",'1. All Data'!$H$3:$H$136,"Completed Behind Schedule")</f>
        <v>0</v>
      </c>
      <c r="D83" s="209">
        <f>C83/C89</f>
        <v>0</v>
      </c>
      <c r="E83" s="435">
        <f>D83+D84</f>
        <v>0</v>
      </c>
      <c r="F83" s="210">
        <f>C83/C90</f>
        <v>0</v>
      </c>
      <c r="G83" s="436">
        <f>F83+F84</f>
        <v>0</v>
      </c>
      <c r="I83" s="211" t="s">
        <v>33</v>
      </c>
      <c r="J83" s="208">
        <f>COUNTIFS('1. All Data'!$AB$3:$AB$136,"Regeneration and Development",'1. All Data'!$M$3:$M$136,"Completed Behind Schedule")</f>
        <v>0</v>
      </c>
      <c r="K83" s="209">
        <f>J83/J89</f>
        <v>0</v>
      </c>
      <c r="L83" s="435">
        <f>K83+K84</f>
        <v>0.08</v>
      </c>
      <c r="M83" s="210">
        <f>J83/J90</f>
        <v>0</v>
      </c>
      <c r="N83" s="436">
        <f>M83+M84</f>
        <v>9.0909090909090912E-2</v>
      </c>
      <c r="P83" s="211" t="s">
        <v>33</v>
      </c>
      <c r="Q83" s="208">
        <f>COUNTIFS('1. All Data'!$AB$3:$AB$136,"Regeneration and Development",'1. All Data'!$R$3:$R$136,"Completed Behind Schedule")</f>
        <v>1</v>
      </c>
      <c r="R83" s="209">
        <f>Q83/Q89</f>
        <v>0.04</v>
      </c>
      <c r="S83" s="435">
        <f>R83+R84</f>
        <v>0.08</v>
      </c>
      <c r="T83" s="210">
        <f>Q83/Q90</f>
        <v>4.3478260869565216E-2</v>
      </c>
      <c r="U83" s="436">
        <f>T83+T84</f>
        <v>8.6956521739130432E-2</v>
      </c>
      <c r="W83" s="171" t="s">
        <v>27</v>
      </c>
      <c r="X83" s="208">
        <f>COUNTIFS('1. All Data'!$AB$3:$AB$136,"Regeneration and Development",'1. All Data'!$V$3:$V$136,"Completed Significantly After Target Deadline")</f>
        <v>0</v>
      </c>
      <c r="Y83" s="209">
        <f>X83/X89</f>
        <v>0</v>
      </c>
      <c r="Z83" s="435">
        <f>Y83+Y84</f>
        <v>0.04</v>
      </c>
      <c r="AA83" s="168">
        <f>X83/X90</f>
        <v>0</v>
      </c>
      <c r="AB83" s="414">
        <f>AA83+AA84</f>
        <v>4.1666666666666664E-2</v>
      </c>
      <c r="AC83" s="166"/>
    </row>
    <row r="84" spans="2:29" ht="22.5" customHeight="1">
      <c r="B84" s="211" t="s">
        <v>26</v>
      </c>
      <c r="C84" s="208">
        <f>COUNTIFS('1. All Data'!$AB$3:$AB$136,"Regeneration and Development",'1. All Data'!$H$3:$H$136,"Off Target")</f>
        <v>0</v>
      </c>
      <c r="D84" s="209">
        <f>C84/C89</f>
        <v>0</v>
      </c>
      <c r="E84" s="435"/>
      <c r="F84" s="210">
        <f>C84/C90</f>
        <v>0</v>
      </c>
      <c r="G84" s="436"/>
      <c r="I84" s="211" t="s">
        <v>26</v>
      </c>
      <c r="J84" s="208">
        <f>COUNTIFS('1. All Data'!$AB$3:$AB$136,"Regeneration and Development",'1. All Data'!$M$3:$M$136,"Off Target")</f>
        <v>2</v>
      </c>
      <c r="K84" s="209">
        <f>J84/J89</f>
        <v>0.08</v>
      </c>
      <c r="L84" s="435"/>
      <c r="M84" s="210">
        <f>J84/J90</f>
        <v>9.0909090909090912E-2</v>
      </c>
      <c r="N84" s="436"/>
      <c r="P84" s="211" t="s">
        <v>26</v>
      </c>
      <c r="Q84" s="208">
        <f>COUNTIFS('1. All Data'!$AB$3:$AB$136,"Regeneration and Development",'1. All Data'!$R$3:$R$136,"Off Target")</f>
        <v>1</v>
      </c>
      <c r="R84" s="209">
        <f>Q84/Q89</f>
        <v>0.04</v>
      </c>
      <c r="S84" s="435"/>
      <c r="T84" s="210">
        <f>Q84/Q90</f>
        <v>4.3478260869565216E-2</v>
      </c>
      <c r="U84" s="436"/>
      <c r="W84" s="171" t="s">
        <v>26</v>
      </c>
      <c r="X84" s="208">
        <f>COUNTIFS('1. All Data'!$AB$3:$AB$136,"Regeneration and Development",'1. All Data'!$V$3:$V$136,"Off Target")</f>
        <v>1</v>
      </c>
      <c r="Y84" s="209">
        <f>X84/X89</f>
        <v>0.04</v>
      </c>
      <c r="Z84" s="435"/>
      <c r="AA84" s="168">
        <f>X84/X90</f>
        <v>4.1666666666666664E-2</v>
      </c>
      <c r="AB84" s="414"/>
      <c r="AC84" s="166"/>
    </row>
    <row r="85" spans="2:29" ht="15.75" customHeight="1">
      <c r="B85" s="212" t="s">
        <v>49</v>
      </c>
      <c r="C85" s="208">
        <f>COUNTIFS('1. All Data'!$AB$3:$AB$136,"Regeneration and Development",'1. All Data'!$H$3:$H$136,"Not yet due")</f>
        <v>7</v>
      </c>
      <c r="D85" s="213">
        <f>C85/C89</f>
        <v>0.28000000000000003</v>
      </c>
      <c r="E85" s="213">
        <f>D85</f>
        <v>0.28000000000000003</v>
      </c>
      <c r="F85" s="214"/>
      <c r="G85" s="58"/>
      <c r="I85" s="212" t="s">
        <v>49</v>
      </c>
      <c r="J85" s="208">
        <f>COUNTIFS('1. All Data'!$AB$3:$AB$136,"Regeneration and Development",'1. All Data'!$M$3:$M$136,"Not yet due")</f>
        <v>2</v>
      </c>
      <c r="K85" s="213">
        <f>J85/J89</f>
        <v>0.08</v>
      </c>
      <c r="L85" s="213">
        <f>K85</f>
        <v>0.08</v>
      </c>
      <c r="M85" s="214"/>
      <c r="N85" s="58"/>
      <c r="P85" s="212" t="s">
        <v>49</v>
      </c>
      <c r="Q85" s="208">
        <f>COUNTIFS('1. All Data'!$AB$3:$AB$136,"Regeneration and Development",'1. All Data'!$R$3:$R$136,"Not yet due")</f>
        <v>1</v>
      </c>
      <c r="R85" s="213">
        <f>Q85/Q89</f>
        <v>0.04</v>
      </c>
      <c r="S85" s="213">
        <f>R85</f>
        <v>0.04</v>
      </c>
      <c r="T85" s="214"/>
      <c r="U85" s="58"/>
      <c r="W85" s="172" t="s">
        <v>49</v>
      </c>
      <c r="X85" s="208">
        <f>COUNTIFS('1. All Data'!$AB$3:$AB$136,"Regeneration and Development",'1. All Data'!$V$3:$V$136,"Not yet due")</f>
        <v>0</v>
      </c>
      <c r="Y85" s="213">
        <f>X85/X89</f>
        <v>0</v>
      </c>
      <c r="Z85" s="213">
        <f>Y85</f>
        <v>0</v>
      </c>
      <c r="AA85" s="174"/>
      <c r="AB85" s="58"/>
      <c r="AC85" s="166"/>
    </row>
    <row r="86" spans="2:29" ht="15.75" customHeight="1">
      <c r="B86" s="212" t="s">
        <v>21</v>
      </c>
      <c r="C86" s="208">
        <f>COUNTIFS('1. All Data'!$AB$3:$AB$136,"Regeneration and Development",'1. All Data'!$H$3:$H$136,"Update not provided")</f>
        <v>0</v>
      </c>
      <c r="D86" s="213">
        <f>C86/C89</f>
        <v>0</v>
      </c>
      <c r="E86" s="213">
        <f>D86</f>
        <v>0</v>
      </c>
      <c r="F86" s="214"/>
      <c r="G86" s="2"/>
      <c r="I86" s="212" t="s">
        <v>21</v>
      </c>
      <c r="J86" s="208">
        <f>COUNTIFS('1. All Data'!$AB$3:$AB$136,"Regeneration and Development",'1. All Data'!$M$3:$M$136,"Update not provided")</f>
        <v>0</v>
      </c>
      <c r="K86" s="213">
        <f>J86/J89</f>
        <v>0</v>
      </c>
      <c r="L86" s="213">
        <f>K86</f>
        <v>0</v>
      </c>
      <c r="M86" s="214"/>
      <c r="N86" s="2"/>
      <c r="P86" s="212" t="s">
        <v>21</v>
      </c>
      <c r="Q86" s="208">
        <f>COUNTIFS('1. All Data'!$AB$3:$AB$136,"Regeneration and Development",'1. All Data'!$R$3:$R$136,"Update not provided")</f>
        <v>0</v>
      </c>
      <c r="R86" s="213">
        <f>Q86/Q89</f>
        <v>0</v>
      </c>
      <c r="S86" s="213">
        <f>R86</f>
        <v>0</v>
      </c>
      <c r="T86" s="214"/>
      <c r="U86" s="2"/>
      <c r="W86" s="172" t="s">
        <v>21</v>
      </c>
      <c r="X86" s="208">
        <f>COUNTIFS('1. All Data'!$AB$3:$AB$136,"Regeneration and Development",'1. All Data'!$V$3:$V$136,"Update not provided")</f>
        <v>0</v>
      </c>
      <c r="Y86" s="213">
        <f>X86/X89</f>
        <v>0</v>
      </c>
      <c r="Z86" s="213">
        <f>Y86</f>
        <v>0</v>
      </c>
      <c r="AA86" s="174"/>
      <c r="AB86" s="2"/>
      <c r="AC86" s="166"/>
    </row>
    <row r="87" spans="2:29" ht="15.75" customHeight="1">
      <c r="B87" s="215" t="s">
        <v>29</v>
      </c>
      <c r="C87" s="208">
        <f>COUNTIFS('1. All Data'!$AB$3:$AB$136,"Regeneration and Development",'1. All Data'!$H$3:$H$136,"Deferred")</f>
        <v>0</v>
      </c>
      <c r="D87" s="216">
        <f>C87/C89</f>
        <v>0</v>
      </c>
      <c r="E87" s="216">
        <f>D87</f>
        <v>0</v>
      </c>
      <c r="F87" s="217"/>
      <c r="G87" s="58"/>
      <c r="I87" s="215" t="s">
        <v>29</v>
      </c>
      <c r="J87" s="208">
        <f>COUNTIFS('1. All Data'!$AB$3:$AB$136,"Regeneration and Development",'1. All Data'!$M$3:$M$136,"Deferred")</f>
        <v>0</v>
      </c>
      <c r="K87" s="216">
        <f>J87/J89</f>
        <v>0</v>
      </c>
      <c r="L87" s="216">
        <f>K87</f>
        <v>0</v>
      </c>
      <c r="M87" s="217"/>
      <c r="N87" s="58"/>
      <c r="P87" s="215" t="s">
        <v>29</v>
      </c>
      <c r="Q87" s="208">
        <f>COUNTIFS('1. All Data'!$AB$3:$AB$136,"Regeneration and Development",'1. All Data'!$R$3:$R$136,"Deferred")</f>
        <v>0</v>
      </c>
      <c r="R87" s="216">
        <f>Q87/Q89</f>
        <v>0</v>
      </c>
      <c r="S87" s="216">
        <f>R87</f>
        <v>0</v>
      </c>
      <c r="T87" s="217"/>
      <c r="U87" s="58"/>
      <c r="W87" s="175" t="s">
        <v>29</v>
      </c>
      <c r="X87" s="208">
        <f>COUNTIFS('1. All Data'!$AB$3:$AB$136,"Regeneration and Development",'1. All Data'!$V$3:$V$136,"Deferred")</f>
        <v>0</v>
      </c>
      <c r="Y87" s="216">
        <f>X87/X89</f>
        <v>0</v>
      </c>
      <c r="Z87" s="216">
        <f>Y87</f>
        <v>0</v>
      </c>
      <c r="AA87" s="177"/>
      <c r="AB87" s="58"/>
      <c r="AC87" s="166"/>
    </row>
    <row r="88" spans="2:29" ht="15.75" customHeight="1">
      <c r="B88" s="215" t="s">
        <v>30</v>
      </c>
      <c r="C88" s="208">
        <f>COUNTIFS('1. All Data'!$AB$3:$AB$136,"Regeneration and Development",'1. All Data'!$H$3:$H$136,"Deleted")</f>
        <v>0</v>
      </c>
      <c r="D88" s="216">
        <f>C88/C89</f>
        <v>0</v>
      </c>
      <c r="E88" s="216">
        <f>D88</f>
        <v>0</v>
      </c>
      <c r="F88" s="217"/>
      <c r="G88" s="29"/>
      <c r="I88" s="215" t="s">
        <v>30</v>
      </c>
      <c r="J88" s="208">
        <f>COUNTIFS('1. All Data'!$AB$3:$AB$136,"Regeneration and Development",'1. All Data'!$M$3:$M$136,"Deleted")</f>
        <v>1</v>
      </c>
      <c r="K88" s="216">
        <f>J88/J89</f>
        <v>0.04</v>
      </c>
      <c r="L88" s="216">
        <f>K88</f>
        <v>0.04</v>
      </c>
      <c r="M88" s="217"/>
      <c r="N88" s="29"/>
      <c r="P88" s="215" t="s">
        <v>30</v>
      </c>
      <c r="Q88" s="208">
        <f>COUNTIFS('1. All Data'!$AB$3:$AB$136,"Regeneration and Development",'1. All Data'!$R$3:$R$136,"Deleted")</f>
        <v>1</v>
      </c>
      <c r="R88" s="216">
        <f>Q88/Q89</f>
        <v>0.04</v>
      </c>
      <c r="S88" s="216">
        <f>R88</f>
        <v>0.04</v>
      </c>
      <c r="T88" s="217"/>
      <c r="U88" s="29"/>
      <c r="W88" s="175" t="s">
        <v>30</v>
      </c>
      <c r="X88" s="208">
        <f>COUNTIFS('1. All Data'!$AB$3:$AB$136,"Regeneration and Development",'1. All Data'!$V$3:$V$136,"Deleted")</f>
        <v>1</v>
      </c>
      <c r="Y88" s="216">
        <f>X88/X89</f>
        <v>0.04</v>
      </c>
      <c r="Z88" s="216">
        <f>Y88</f>
        <v>0.04</v>
      </c>
      <c r="AA88" s="177"/>
      <c r="AB88" s="3"/>
      <c r="AC88" s="166"/>
    </row>
    <row r="89" spans="2:29" ht="15.75" customHeight="1">
      <c r="B89" s="218" t="s">
        <v>51</v>
      </c>
      <c r="C89" s="219">
        <f>SUM(C78:C88)</f>
        <v>25</v>
      </c>
      <c r="D89" s="177"/>
      <c r="E89" s="177"/>
      <c r="F89" s="220"/>
      <c r="G89" s="58"/>
      <c r="I89" s="218" t="s">
        <v>51</v>
      </c>
      <c r="J89" s="219">
        <f>SUM(J78:J88)</f>
        <v>25</v>
      </c>
      <c r="K89" s="177"/>
      <c r="L89" s="177"/>
      <c r="M89" s="220"/>
      <c r="N89" s="58"/>
      <c r="P89" s="218" t="s">
        <v>51</v>
      </c>
      <c r="Q89" s="219">
        <f>SUM(Q78:Q88)</f>
        <v>25</v>
      </c>
      <c r="R89" s="177"/>
      <c r="S89" s="177"/>
      <c r="T89" s="220"/>
      <c r="U89" s="58"/>
      <c r="W89" s="178" t="s">
        <v>51</v>
      </c>
      <c r="X89" s="219">
        <f>SUM(X78:X88)</f>
        <v>25</v>
      </c>
      <c r="Y89" s="177"/>
      <c r="Z89" s="177"/>
      <c r="AA89" s="58"/>
      <c r="AB89" s="58"/>
      <c r="AC89" s="166"/>
    </row>
    <row r="90" spans="2:29" ht="15.75" customHeight="1">
      <c r="B90" s="218" t="s">
        <v>52</v>
      </c>
      <c r="C90" s="219">
        <f>C89-C88-C87-C86-C85</f>
        <v>18</v>
      </c>
      <c r="D90" s="58"/>
      <c r="E90" s="58"/>
      <c r="F90" s="220"/>
      <c r="G90" s="58"/>
      <c r="I90" s="218" t="s">
        <v>52</v>
      </c>
      <c r="J90" s="219">
        <f>J89-J88-J87-J86-J85</f>
        <v>22</v>
      </c>
      <c r="K90" s="58"/>
      <c r="L90" s="58"/>
      <c r="M90" s="220"/>
      <c r="N90" s="58"/>
      <c r="P90" s="218" t="s">
        <v>52</v>
      </c>
      <c r="Q90" s="219">
        <f>Q89-Q88-Q87-Q86-Q85</f>
        <v>23</v>
      </c>
      <c r="R90" s="58"/>
      <c r="S90" s="58"/>
      <c r="T90" s="220"/>
      <c r="U90" s="58"/>
      <c r="W90" s="178" t="s">
        <v>52</v>
      </c>
      <c r="X90" s="219">
        <f>X89-X88-X87-X86-X85</f>
        <v>24</v>
      </c>
      <c r="Y90" s="58"/>
      <c r="Z90" s="58"/>
      <c r="AA90" s="58"/>
      <c r="AB90" s="58"/>
      <c r="AC90" s="166"/>
    </row>
    <row r="91" spans="2:29" ht="15.75" customHeight="1">
      <c r="W91" s="180"/>
      <c r="AA91" s="2"/>
      <c r="AC91" s="166"/>
    </row>
    <row r="92" spans="2:29" ht="15.75" customHeight="1">
      <c r="W92" s="165"/>
      <c r="X92" s="165"/>
      <c r="Y92" s="165"/>
      <c r="Z92" s="165"/>
      <c r="AA92" s="165"/>
      <c r="AB92" s="186"/>
      <c r="AC92" s="166"/>
    </row>
    <row r="93" spans="2:29" ht="15.75" customHeight="1">
      <c r="W93" s="165"/>
      <c r="X93" s="165"/>
      <c r="Y93" s="165"/>
      <c r="Z93" s="165"/>
      <c r="AA93" s="165"/>
      <c r="AB93" s="186"/>
      <c r="AC93" s="166"/>
    </row>
    <row r="94" spans="2:29" ht="15.75">
      <c r="B94" s="225" t="s">
        <v>109</v>
      </c>
      <c r="C94" s="204"/>
      <c r="D94" s="204"/>
      <c r="E94" s="204"/>
      <c r="F94" s="205"/>
      <c r="G94" s="204"/>
      <c r="I94" s="225" t="s">
        <v>109</v>
      </c>
      <c r="J94" s="204"/>
      <c r="K94" s="204"/>
      <c r="L94" s="204"/>
      <c r="M94" s="205"/>
      <c r="N94" s="204"/>
      <c r="O94" s="166"/>
      <c r="P94" s="225" t="s">
        <v>109</v>
      </c>
      <c r="Q94" s="204"/>
      <c r="R94" s="204"/>
      <c r="S94" s="204"/>
      <c r="T94" s="205"/>
      <c r="U94" s="204"/>
      <c r="V94" s="166"/>
      <c r="W94" s="225" t="s">
        <v>109</v>
      </c>
      <c r="X94" s="204"/>
      <c r="Y94" s="204"/>
      <c r="Z94" s="204"/>
      <c r="AA94" s="205"/>
      <c r="AB94" s="204"/>
      <c r="AC94" s="166"/>
    </row>
    <row r="95" spans="2:29" ht="47.25">
      <c r="B95" s="206" t="s">
        <v>42</v>
      </c>
      <c r="C95" s="207" t="s">
        <v>43</v>
      </c>
      <c r="D95" s="207" t="s">
        <v>44</v>
      </c>
      <c r="E95" s="207" t="s">
        <v>45</v>
      </c>
      <c r="F95" s="206" t="s">
        <v>46</v>
      </c>
      <c r="G95" s="207" t="s">
        <v>47</v>
      </c>
      <c r="I95" s="206" t="s">
        <v>42</v>
      </c>
      <c r="J95" s="207" t="s">
        <v>43</v>
      </c>
      <c r="K95" s="207" t="s">
        <v>44</v>
      </c>
      <c r="L95" s="207" t="s">
        <v>45</v>
      </c>
      <c r="M95" s="206" t="s">
        <v>46</v>
      </c>
      <c r="N95" s="207" t="s">
        <v>47</v>
      </c>
      <c r="P95" s="206" t="s">
        <v>42</v>
      </c>
      <c r="Q95" s="207" t="s">
        <v>43</v>
      </c>
      <c r="R95" s="207" t="s">
        <v>44</v>
      </c>
      <c r="S95" s="207" t="s">
        <v>45</v>
      </c>
      <c r="T95" s="206" t="s">
        <v>46</v>
      </c>
      <c r="U95" s="207" t="s">
        <v>47</v>
      </c>
      <c r="W95" s="164" t="s">
        <v>42</v>
      </c>
      <c r="X95" s="164" t="s">
        <v>43</v>
      </c>
      <c r="Y95" s="164" t="s">
        <v>44</v>
      </c>
      <c r="Z95" s="164" t="s">
        <v>45</v>
      </c>
      <c r="AA95" s="164" t="s">
        <v>46</v>
      </c>
      <c r="AB95" s="164" t="s">
        <v>47</v>
      </c>
      <c r="AC95" s="166"/>
    </row>
    <row r="96" spans="2:29" ht="15.75">
      <c r="B96" s="228" t="s">
        <v>48</v>
      </c>
      <c r="C96" s="208">
        <f>COUNTIFS('1. All Data'!$AB$3:$AB$136,"Tourism and Cultural Development",'1. All Data'!$H$3:$H$136,"Fully Achieved")</f>
        <v>1</v>
      </c>
      <c r="D96" s="251">
        <f>C96/C107</f>
        <v>4.5454545454545456E-2</v>
      </c>
      <c r="E96" s="435">
        <f>D96+D97</f>
        <v>0.72727272727272718</v>
      </c>
      <c r="F96" s="210">
        <f>C96/C108</f>
        <v>6.25E-2</v>
      </c>
      <c r="G96" s="437">
        <f>F96+F97</f>
        <v>1</v>
      </c>
      <c r="I96" s="228" t="s">
        <v>48</v>
      </c>
      <c r="J96" s="208">
        <f>COUNTIFS('1. All Data'!$AB$3:$AB$136,"Tourism and Cultural Development",'1. All Data'!$M$3:$M$136,"Fully Achieved")</f>
        <v>7</v>
      </c>
      <c r="K96" s="251">
        <f>J96/J107</f>
        <v>0.31818181818181818</v>
      </c>
      <c r="L96" s="435">
        <f>K96+K97</f>
        <v>0.86363636363636354</v>
      </c>
      <c r="M96" s="210">
        <f>J96/J108</f>
        <v>0.35</v>
      </c>
      <c r="N96" s="437">
        <f>M96+M97</f>
        <v>0.95</v>
      </c>
      <c r="P96" s="228" t="s">
        <v>48</v>
      </c>
      <c r="Q96" s="208">
        <f>COUNTIFS('1. All Data'!$AB$3:$AB$136,"Tourism and Cultural Development",'1. All Data'!$R$3:$R$136,"Fully Achieved")</f>
        <v>13</v>
      </c>
      <c r="R96" s="251">
        <f>Q96/Q107</f>
        <v>0.59090909090909094</v>
      </c>
      <c r="S96" s="435">
        <f>R96+R97</f>
        <v>0.86363636363636365</v>
      </c>
      <c r="T96" s="210">
        <f>Q96/Q108</f>
        <v>0.65</v>
      </c>
      <c r="U96" s="437">
        <f>T96+T97</f>
        <v>0.95</v>
      </c>
      <c r="W96" s="228" t="s">
        <v>48</v>
      </c>
      <c r="X96" s="208">
        <f>COUNTIFS('1. All Data'!$AB$3:$AB$136,"Tourism and Cultural Development",'1. All Data'!$V$3:$V$136,"Fully Achieved")</f>
        <v>20</v>
      </c>
      <c r="Y96" s="251">
        <f>X96/X107</f>
        <v>0.90909090909090906</v>
      </c>
      <c r="Z96" s="435">
        <f>Y96+Y97</f>
        <v>0.90909090909090906</v>
      </c>
      <c r="AA96" s="251">
        <f>X96/X108</f>
        <v>0.95238095238095233</v>
      </c>
      <c r="AB96" s="415">
        <f>AA96+AA97</f>
        <v>0.95238095238095233</v>
      </c>
      <c r="AC96" s="166"/>
    </row>
    <row r="97" spans="2:29" ht="15.75">
      <c r="B97" s="228" t="s">
        <v>31</v>
      </c>
      <c r="C97" s="208">
        <f>COUNTIFS('1. All Data'!$AB$3:$AB$136,"Tourism and Cultural Development",'1. All Data'!$H$3:$H$136,"On Track to be Achieved")</f>
        <v>15</v>
      </c>
      <c r="D97" s="251">
        <f>C97/C107</f>
        <v>0.68181818181818177</v>
      </c>
      <c r="E97" s="435"/>
      <c r="F97" s="210">
        <f>C97/C108</f>
        <v>0.9375</v>
      </c>
      <c r="G97" s="437"/>
      <c r="I97" s="228" t="s">
        <v>31</v>
      </c>
      <c r="J97" s="208">
        <f>COUNTIFS('1. All Data'!$AB$3:$AB$136,"Tourism and Cultural Development",'1. All Data'!$M$3:$M$136,"On Track to be Achieved")</f>
        <v>12</v>
      </c>
      <c r="K97" s="251">
        <f>J97/J107</f>
        <v>0.54545454545454541</v>
      </c>
      <c r="L97" s="435"/>
      <c r="M97" s="210">
        <f>J97/J108</f>
        <v>0.6</v>
      </c>
      <c r="N97" s="437"/>
      <c r="P97" s="228" t="s">
        <v>31</v>
      </c>
      <c r="Q97" s="208">
        <f>COUNTIFS('1. All Data'!$AB$3:$AB$136,"Tourism and Cultural Development",'1. All Data'!$R$3:$R$136,"On Track to be Achieved")</f>
        <v>6</v>
      </c>
      <c r="R97" s="251">
        <f>Q97/Q107</f>
        <v>0.27272727272727271</v>
      </c>
      <c r="S97" s="435"/>
      <c r="T97" s="210">
        <f>Q97/Q108</f>
        <v>0.3</v>
      </c>
      <c r="U97" s="437"/>
      <c r="W97" s="228" t="s">
        <v>23</v>
      </c>
      <c r="X97" s="208">
        <f>COUNTIFS('1. All Data'!$AB$3:$AB$136,"Tourism and Cultural Development",'1. All Data'!$V$3:$V$136,"Numerical Outturn Within 5% Tolerance")</f>
        <v>0</v>
      </c>
      <c r="Y97" s="251">
        <f>X97/X107</f>
        <v>0</v>
      </c>
      <c r="Z97" s="435"/>
      <c r="AA97" s="251">
        <f>X97/X108</f>
        <v>0</v>
      </c>
      <c r="AB97" s="415"/>
      <c r="AC97" s="166"/>
    </row>
    <row r="98" spans="2:29" ht="15.75">
      <c r="B98" s="447" t="s">
        <v>32</v>
      </c>
      <c r="C98" s="450">
        <f>COUNTIFS('1. All Data'!$AB$3:$AB$136,"Tourism and Cultural Development",'1. All Data'!$H$3:$H$136,"In Danger of Falling Behind Target")</f>
        <v>0</v>
      </c>
      <c r="D98" s="438">
        <f>C98/C107</f>
        <v>0</v>
      </c>
      <c r="E98" s="438">
        <f>D98</f>
        <v>0</v>
      </c>
      <c r="F98" s="441">
        <f>C98/C108</f>
        <v>0</v>
      </c>
      <c r="G98" s="444">
        <f>F98</f>
        <v>0</v>
      </c>
      <c r="I98" s="447" t="s">
        <v>32</v>
      </c>
      <c r="J98" s="450">
        <f>COUNTIFS('1. All Data'!$AB$3:$AB$136,"Tourism and Cultural Development",'1. All Data'!$M$3:$M$136,"In Danger of Falling Behind Target")</f>
        <v>0</v>
      </c>
      <c r="K98" s="438">
        <f>J98/J107</f>
        <v>0</v>
      </c>
      <c r="L98" s="438">
        <f>K98</f>
        <v>0</v>
      </c>
      <c r="M98" s="441">
        <f>J98/J108</f>
        <v>0</v>
      </c>
      <c r="N98" s="444">
        <f>M98</f>
        <v>0</v>
      </c>
      <c r="P98" s="447" t="s">
        <v>32</v>
      </c>
      <c r="Q98" s="450">
        <f>COUNTIFS('1. All Data'!$AB$3:$AB$136,"Tourism and Cultural Development",'1. All Data'!$R$3:$R$136,"In Danger of Falling Behind Target")</f>
        <v>0</v>
      </c>
      <c r="R98" s="438">
        <f>Q98/Q107</f>
        <v>0</v>
      </c>
      <c r="S98" s="438">
        <f>R98</f>
        <v>0</v>
      </c>
      <c r="T98" s="441">
        <f>Q98/Q108</f>
        <v>0</v>
      </c>
      <c r="U98" s="444">
        <f>T98</f>
        <v>0</v>
      </c>
      <c r="W98" s="169" t="s">
        <v>24</v>
      </c>
      <c r="X98" s="170">
        <f>COUNTIFS('1. All Data'!$AB$3:$AB$136,"Tourism and Cultural Development",'1. All Data'!$V$3:$V$136,"Numerical Outturn Within 10% Tolerance")</f>
        <v>0</v>
      </c>
      <c r="Y98" s="250">
        <f>X98/X107</f>
        <v>0</v>
      </c>
      <c r="Z98" s="413">
        <f>SUM(Y98:Y100)</f>
        <v>0</v>
      </c>
      <c r="AA98" s="250">
        <f>X98/X108</f>
        <v>0</v>
      </c>
      <c r="AB98" s="422">
        <f>SUM(AA98:AA100)</f>
        <v>0</v>
      </c>
      <c r="AC98" s="166"/>
    </row>
    <row r="99" spans="2:29" ht="15.75">
      <c r="B99" s="448"/>
      <c r="C99" s="451"/>
      <c r="D99" s="439"/>
      <c r="E99" s="439"/>
      <c r="F99" s="442"/>
      <c r="G99" s="445"/>
      <c r="I99" s="448"/>
      <c r="J99" s="451"/>
      <c r="K99" s="439"/>
      <c r="L99" s="439"/>
      <c r="M99" s="442"/>
      <c r="N99" s="445"/>
      <c r="P99" s="448"/>
      <c r="Q99" s="451"/>
      <c r="R99" s="439"/>
      <c r="S99" s="439"/>
      <c r="T99" s="442"/>
      <c r="U99" s="445"/>
      <c r="W99" s="169" t="s">
        <v>25</v>
      </c>
      <c r="X99" s="170">
        <f>COUNTIFS('1. All Data'!$AB$3:$AB$136,"Tourism and Cultural Development",'1. All Data'!$V$3:$V$136,"Target Partially Met")</f>
        <v>0</v>
      </c>
      <c r="Y99" s="250">
        <f>X99/X107</f>
        <v>0</v>
      </c>
      <c r="Z99" s="413"/>
      <c r="AA99" s="250">
        <f>X99/X108</f>
        <v>0</v>
      </c>
      <c r="AB99" s="422"/>
      <c r="AC99" s="166"/>
    </row>
    <row r="100" spans="2:29" ht="15.75">
      <c r="B100" s="449"/>
      <c r="C100" s="452"/>
      <c r="D100" s="440"/>
      <c r="E100" s="440"/>
      <c r="F100" s="443"/>
      <c r="G100" s="446"/>
      <c r="I100" s="449"/>
      <c r="J100" s="452"/>
      <c r="K100" s="440"/>
      <c r="L100" s="440"/>
      <c r="M100" s="443"/>
      <c r="N100" s="446"/>
      <c r="P100" s="449"/>
      <c r="Q100" s="452"/>
      <c r="R100" s="440"/>
      <c r="S100" s="440"/>
      <c r="T100" s="443"/>
      <c r="U100" s="446"/>
      <c r="W100" s="169" t="s">
        <v>28</v>
      </c>
      <c r="X100" s="170">
        <f>COUNTIFS('1. All Data'!$AB$3:$AB$136,"Tourism and Cultural Development",'1. All Data'!$V$3:$V$136,"Completion Date Within Reasonable Tolerance")</f>
        <v>0</v>
      </c>
      <c r="Y100" s="250">
        <f>X100/X107</f>
        <v>0</v>
      </c>
      <c r="Z100" s="413"/>
      <c r="AA100" s="250">
        <f>X100/X108</f>
        <v>0</v>
      </c>
      <c r="AB100" s="422"/>
      <c r="AC100" s="166"/>
    </row>
    <row r="101" spans="2:29" ht="31.5">
      <c r="B101" s="211" t="s">
        <v>33</v>
      </c>
      <c r="C101" s="208">
        <f>COUNTIFS('1. All Data'!$AB$3:$AB$136,"Tourism and Cultural Development",'1. All Data'!$H$3:$H$136,"Completed Behind Schedule")</f>
        <v>0</v>
      </c>
      <c r="D101" s="251">
        <f>C101/C107</f>
        <v>0</v>
      </c>
      <c r="E101" s="435">
        <f>D101+D102</f>
        <v>0</v>
      </c>
      <c r="F101" s="210">
        <f>C101/C108</f>
        <v>0</v>
      </c>
      <c r="G101" s="436">
        <f>F101+F102</f>
        <v>0</v>
      </c>
      <c r="I101" s="211" t="s">
        <v>33</v>
      </c>
      <c r="J101" s="208">
        <f>COUNTIFS('1. All Data'!$AB$3:$AB$136,"Tourism and Cultural Development",'1. All Data'!$M$3:$M$136,"Completed Behind Schedule")</f>
        <v>0</v>
      </c>
      <c r="K101" s="251">
        <f>J101/J107</f>
        <v>0</v>
      </c>
      <c r="L101" s="435">
        <f>K101+K102</f>
        <v>4.5454545454545456E-2</v>
      </c>
      <c r="M101" s="210">
        <f>J101/J108</f>
        <v>0</v>
      </c>
      <c r="N101" s="436">
        <f>M101+M102</f>
        <v>0.05</v>
      </c>
      <c r="P101" s="211" t="s">
        <v>33</v>
      </c>
      <c r="Q101" s="208">
        <f>COUNTIFS('1. All Data'!$AB$3:$AB$136,"Tourism and Cultural Development",'1. All Data'!$R$3:$R$136,"Completed Behind Schedule")</f>
        <v>0</v>
      </c>
      <c r="R101" s="251">
        <f>Q101/Q107</f>
        <v>0</v>
      </c>
      <c r="S101" s="435">
        <f>R101+R102</f>
        <v>4.5454545454545456E-2</v>
      </c>
      <c r="T101" s="210">
        <f>Q101/Q108</f>
        <v>0</v>
      </c>
      <c r="U101" s="436">
        <f>T101+T102</f>
        <v>0.05</v>
      </c>
      <c r="W101" s="171" t="s">
        <v>27</v>
      </c>
      <c r="X101" s="208">
        <f>COUNTIFS('1. All Data'!$AB$3:$AB$136,"Tourism and Cultural Development",'1. All Data'!$V$3:$V$136,"Completed Significantly After Target Deadline")</f>
        <v>0</v>
      </c>
      <c r="Y101" s="251">
        <f>X101/X107</f>
        <v>0</v>
      </c>
      <c r="Z101" s="435">
        <f>Y101+Y102</f>
        <v>4.5454545454545456E-2</v>
      </c>
      <c r="AA101" s="250">
        <f>X101/X108</f>
        <v>0</v>
      </c>
      <c r="AB101" s="414">
        <f>AA101+AA102</f>
        <v>4.7619047619047616E-2</v>
      </c>
      <c r="AC101" s="166"/>
    </row>
    <row r="102" spans="2:29" ht="15.75">
      <c r="B102" s="211" t="s">
        <v>26</v>
      </c>
      <c r="C102" s="208">
        <f>COUNTIFS('1. All Data'!$AB$3:$AB$136,"Tourism and Cultural Development",'1. All Data'!$H$3:$H$136,"Off Target")</f>
        <v>0</v>
      </c>
      <c r="D102" s="251">
        <f>C102/C107</f>
        <v>0</v>
      </c>
      <c r="E102" s="435"/>
      <c r="F102" s="210">
        <f>C102/C108</f>
        <v>0</v>
      </c>
      <c r="G102" s="436"/>
      <c r="I102" s="211" t="s">
        <v>26</v>
      </c>
      <c r="J102" s="208">
        <f>COUNTIFS('1. All Data'!$AB$3:$AB$136,"Tourism and Cultural Development",'1. All Data'!$M$3:$M$136,"Off Target")</f>
        <v>1</v>
      </c>
      <c r="K102" s="251">
        <f>J102/J107</f>
        <v>4.5454545454545456E-2</v>
      </c>
      <c r="L102" s="435"/>
      <c r="M102" s="210">
        <f>J102/J108</f>
        <v>0.05</v>
      </c>
      <c r="N102" s="436"/>
      <c r="P102" s="211" t="s">
        <v>26</v>
      </c>
      <c r="Q102" s="208">
        <f>COUNTIFS('1. All Data'!$AB$3:$AB$136,"Tourism and Cultural Development",'1. All Data'!$R$3:$R$136,"Off Target")</f>
        <v>1</v>
      </c>
      <c r="R102" s="251">
        <f>Q102/Q107</f>
        <v>4.5454545454545456E-2</v>
      </c>
      <c r="S102" s="435"/>
      <c r="T102" s="210">
        <f>Q102/Q108</f>
        <v>0.05</v>
      </c>
      <c r="U102" s="436"/>
      <c r="W102" s="171" t="s">
        <v>26</v>
      </c>
      <c r="X102" s="208">
        <f>COUNTIFS('1. All Data'!$AB$3:$AB$136,"Tourism and Cultural Development",'1. All Data'!$V$3:$V$136,"Off Target")</f>
        <v>1</v>
      </c>
      <c r="Y102" s="251">
        <f>X102/X107</f>
        <v>4.5454545454545456E-2</v>
      </c>
      <c r="Z102" s="435"/>
      <c r="AA102" s="250">
        <f>X102/X108</f>
        <v>4.7619047619047616E-2</v>
      </c>
      <c r="AB102" s="414"/>
      <c r="AC102" s="166"/>
    </row>
    <row r="103" spans="2:29" ht="15.75">
      <c r="B103" s="212" t="s">
        <v>49</v>
      </c>
      <c r="C103" s="208">
        <f>COUNTIFS('1. All Data'!$AB$3:$AB$136,"Tourism and Cultural Development",'1. All Data'!$H$3:$H$136,"Not yet due")</f>
        <v>6</v>
      </c>
      <c r="D103" s="213">
        <f>C103/C107</f>
        <v>0.27272727272727271</v>
      </c>
      <c r="E103" s="213">
        <f>D103</f>
        <v>0.27272727272727271</v>
      </c>
      <c r="F103" s="214"/>
      <c r="G103" s="58"/>
      <c r="I103" s="212" t="s">
        <v>49</v>
      </c>
      <c r="J103" s="208">
        <f>COUNTIFS('1. All Data'!$AB$3:$AB$136,"Tourism and Cultural Development",'1. All Data'!$M$3:$M$136,"Not yet due")</f>
        <v>1</v>
      </c>
      <c r="K103" s="213">
        <f>J103/J107</f>
        <v>4.5454545454545456E-2</v>
      </c>
      <c r="L103" s="213">
        <f>K103</f>
        <v>4.5454545454545456E-2</v>
      </c>
      <c r="M103" s="214"/>
      <c r="N103" s="58"/>
      <c r="P103" s="212" t="s">
        <v>49</v>
      </c>
      <c r="Q103" s="208">
        <f>COUNTIFS('1. All Data'!$AB$3:$AB$136,"Tourism and Cultural Development",'1. All Data'!$R$3:$R$136,"Not yet due")</f>
        <v>1</v>
      </c>
      <c r="R103" s="213">
        <f>Q103/Q107</f>
        <v>4.5454545454545456E-2</v>
      </c>
      <c r="S103" s="213">
        <f>R103</f>
        <v>4.5454545454545456E-2</v>
      </c>
      <c r="T103" s="214"/>
      <c r="U103" s="58"/>
      <c r="W103" s="172" t="s">
        <v>49</v>
      </c>
      <c r="X103" s="208">
        <f>COUNTIFS('1. All Data'!$AB$3:$AB$136,"Tourism and Cultural Development",'1. All Data'!$V$3:$V$136,"Not yet due")</f>
        <v>0</v>
      </c>
      <c r="Y103" s="213">
        <f>X103/X107</f>
        <v>0</v>
      </c>
      <c r="Z103" s="213">
        <f>Y103</f>
        <v>0</v>
      </c>
      <c r="AA103" s="174"/>
      <c r="AB103" s="58"/>
      <c r="AC103" s="166"/>
    </row>
    <row r="104" spans="2:29" ht="15.75">
      <c r="B104" s="212" t="s">
        <v>21</v>
      </c>
      <c r="C104" s="208">
        <f>COUNTIFS('1. All Data'!$AB$3:$AB$136,"Tourism and Cultural Development",'1. All Data'!$H$3:$H$136,"Update not provided")</f>
        <v>0</v>
      </c>
      <c r="D104" s="213">
        <f>C104/C107</f>
        <v>0</v>
      </c>
      <c r="E104" s="213">
        <f>D104</f>
        <v>0</v>
      </c>
      <c r="F104" s="214"/>
      <c r="G104" s="2"/>
      <c r="I104" s="212" t="s">
        <v>21</v>
      </c>
      <c r="J104" s="208">
        <f>COUNTIFS('1. All Data'!$AB$3:$AB$136,"Tourism and Cultural Development",'1. All Data'!$M$3:$M$136,"Update not provided")</f>
        <v>0</v>
      </c>
      <c r="K104" s="213">
        <f>J104/J107</f>
        <v>0</v>
      </c>
      <c r="L104" s="213">
        <f>K104</f>
        <v>0</v>
      </c>
      <c r="M104" s="214"/>
      <c r="N104" s="2"/>
      <c r="P104" s="212" t="s">
        <v>21</v>
      </c>
      <c r="Q104" s="208">
        <f>COUNTIFS('1. All Data'!$AB$3:$AB$136,"Tourism and Cultural Development",'1. All Data'!$R$3:$R$136,"Update not provided")</f>
        <v>0</v>
      </c>
      <c r="R104" s="213">
        <f>Q104/Q107</f>
        <v>0</v>
      </c>
      <c r="S104" s="213">
        <f>R104</f>
        <v>0</v>
      </c>
      <c r="T104" s="214"/>
      <c r="U104" s="2"/>
      <c r="W104" s="172" t="s">
        <v>21</v>
      </c>
      <c r="X104" s="208">
        <f>COUNTIFS('1. All Data'!$AB$3:$AB$136,"Tourism and Cultural Development",'1. All Data'!$V$3:$V$136,"Update not provided")</f>
        <v>0</v>
      </c>
      <c r="Y104" s="213">
        <f>X104/X107</f>
        <v>0</v>
      </c>
      <c r="Z104" s="213">
        <f>Y104</f>
        <v>0</v>
      </c>
      <c r="AA104" s="174"/>
      <c r="AB104" s="2"/>
      <c r="AC104" s="166"/>
    </row>
    <row r="105" spans="2:29" ht="15.75">
      <c r="B105" s="215" t="s">
        <v>29</v>
      </c>
      <c r="C105" s="208">
        <f>COUNTIFS('1. All Data'!$AB$3:$AB$136,"Tourism and Cultural Development",'1. All Data'!$H$3:$H$136,"Deferred")</f>
        <v>0</v>
      </c>
      <c r="D105" s="216">
        <f>C105/C107</f>
        <v>0</v>
      </c>
      <c r="E105" s="216">
        <f>D105</f>
        <v>0</v>
      </c>
      <c r="F105" s="217"/>
      <c r="G105" s="58"/>
      <c r="I105" s="215" t="s">
        <v>29</v>
      </c>
      <c r="J105" s="208">
        <f>COUNTIFS('1. All Data'!$AB$3:$AB$136,"Tourism and Cultural Development",'1. All Data'!$M$3:$M$136,"Deferred")</f>
        <v>0</v>
      </c>
      <c r="K105" s="216">
        <f>J105/J107</f>
        <v>0</v>
      </c>
      <c r="L105" s="216">
        <f>K105</f>
        <v>0</v>
      </c>
      <c r="M105" s="217"/>
      <c r="N105" s="58"/>
      <c r="P105" s="215" t="s">
        <v>29</v>
      </c>
      <c r="Q105" s="208">
        <f>COUNTIFS('1. All Data'!$AB$3:$AB$136,"Tourism and Cultural Development",'1. All Data'!$R$3:$R$136,"Deferred")</f>
        <v>0</v>
      </c>
      <c r="R105" s="216">
        <f>Q105/Q107</f>
        <v>0</v>
      </c>
      <c r="S105" s="216">
        <f>R105</f>
        <v>0</v>
      </c>
      <c r="T105" s="217"/>
      <c r="U105" s="58"/>
      <c r="W105" s="175" t="s">
        <v>29</v>
      </c>
      <c r="X105" s="208">
        <f>COUNTIFS('1. All Data'!$AB$3:$AB$136,"Tourism and Cultural Development",'1. All Data'!$V$3:$V$136,"Deferred")</f>
        <v>0</v>
      </c>
      <c r="Y105" s="216">
        <f>X105/X107</f>
        <v>0</v>
      </c>
      <c r="Z105" s="216">
        <f>Y105</f>
        <v>0</v>
      </c>
      <c r="AA105" s="177"/>
      <c r="AB105" s="58"/>
      <c r="AC105" s="166"/>
    </row>
    <row r="106" spans="2:29" ht="15.75">
      <c r="B106" s="215" t="s">
        <v>30</v>
      </c>
      <c r="C106" s="208">
        <f>COUNTIFS('1. All Data'!$AB$3:$AB$136,"Tourism and Cultural Development",'1. All Data'!$H$3:$H$136,"Deleted")</f>
        <v>0</v>
      </c>
      <c r="D106" s="216">
        <f>C106/C107</f>
        <v>0</v>
      </c>
      <c r="E106" s="216">
        <f>D106</f>
        <v>0</v>
      </c>
      <c r="F106" s="217"/>
      <c r="G106" s="29"/>
      <c r="I106" s="215" t="s">
        <v>30</v>
      </c>
      <c r="J106" s="208">
        <f>COUNTIFS('1. All Data'!$AB$3:$AB$136,"Tourism and Cultural Development",'1. All Data'!$M$3:$M$136,"Deleted")</f>
        <v>1</v>
      </c>
      <c r="K106" s="216">
        <f>J106/J107</f>
        <v>4.5454545454545456E-2</v>
      </c>
      <c r="L106" s="216">
        <f>K106</f>
        <v>4.5454545454545456E-2</v>
      </c>
      <c r="M106" s="217"/>
      <c r="N106" s="29"/>
      <c r="P106" s="215" t="s">
        <v>30</v>
      </c>
      <c r="Q106" s="208">
        <f>COUNTIFS('1. All Data'!$AB$3:$AB$136,"Tourism and Cultural Development",'1. All Data'!$R$3:$R$136,"Deleted")</f>
        <v>1</v>
      </c>
      <c r="R106" s="216">
        <f>Q106/Q107</f>
        <v>4.5454545454545456E-2</v>
      </c>
      <c r="S106" s="216">
        <f>R106</f>
        <v>4.5454545454545456E-2</v>
      </c>
      <c r="T106" s="217"/>
      <c r="U106" s="29"/>
      <c r="W106" s="175" t="s">
        <v>30</v>
      </c>
      <c r="X106" s="208">
        <f>COUNTIFS('1. All Data'!$AB$3:$AB$136,"Tourism and Cultural Development",'1. All Data'!$V$3:$V$136,"Deleted")</f>
        <v>1</v>
      </c>
      <c r="Y106" s="216">
        <f>X106/X107</f>
        <v>4.5454545454545456E-2</v>
      </c>
      <c r="Z106" s="216">
        <f>Y106</f>
        <v>4.5454545454545456E-2</v>
      </c>
      <c r="AA106" s="177"/>
      <c r="AB106" s="3"/>
      <c r="AC106" s="166"/>
    </row>
    <row r="107" spans="2:29" ht="15.75">
      <c r="B107" s="218" t="s">
        <v>51</v>
      </c>
      <c r="C107" s="219">
        <f>SUM(C96:C106)</f>
        <v>22</v>
      </c>
      <c r="D107" s="177"/>
      <c r="E107" s="177"/>
      <c r="F107" s="220"/>
      <c r="G107" s="58"/>
      <c r="I107" s="218" t="s">
        <v>51</v>
      </c>
      <c r="J107" s="219">
        <f>SUM(J96:J106)</f>
        <v>22</v>
      </c>
      <c r="K107" s="177"/>
      <c r="L107" s="177"/>
      <c r="M107" s="220"/>
      <c r="N107" s="58"/>
      <c r="P107" s="218" t="s">
        <v>51</v>
      </c>
      <c r="Q107" s="219">
        <f>SUM(Q96:Q106)</f>
        <v>22</v>
      </c>
      <c r="R107" s="177"/>
      <c r="S107" s="177"/>
      <c r="T107" s="220"/>
      <c r="U107" s="58"/>
      <c r="W107" s="178" t="s">
        <v>51</v>
      </c>
      <c r="X107" s="219">
        <f>SUM(X96:X106)</f>
        <v>22</v>
      </c>
      <c r="Y107" s="177"/>
      <c r="Z107" s="177"/>
      <c r="AA107" s="58"/>
      <c r="AB107" s="58"/>
      <c r="AC107" s="166"/>
    </row>
    <row r="108" spans="2:29" ht="15.75">
      <c r="B108" s="218" t="s">
        <v>52</v>
      </c>
      <c r="C108" s="219">
        <f>C107-C106-C105-C104-C103</f>
        <v>16</v>
      </c>
      <c r="D108" s="58"/>
      <c r="E108" s="58"/>
      <c r="F108" s="220"/>
      <c r="G108" s="58"/>
      <c r="I108" s="218" t="s">
        <v>52</v>
      </c>
      <c r="J108" s="219">
        <f>J107-J106-J105-J104-J103</f>
        <v>20</v>
      </c>
      <c r="K108" s="58"/>
      <c r="L108" s="58"/>
      <c r="M108" s="220"/>
      <c r="N108" s="58"/>
      <c r="P108" s="218" t="s">
        <v>52</v>
      </c>
      <c r="Q108" s="219">
        <f>Q107-Q106-Q105-Q104-Q103</f>
        <v>20</v>
      </c>
      <c r="R108" s="58"/>
      <c r="S108" s="58"/>
      <c r="T108" s="220"/>
      <c r="U108" s="58"/>
      <c r="W108" s="178" t="s">
        <v>52</v>
      </c>
      <c r="X108" s="219">
        <f>X107-X106-X105-X104-X103</f>
        <v>21</v>
      </c>
      <c r="Y108" s="58"/>
      <c r="Z108" s="58"/>
      <c r="AA108" s="58"/>
      <c r="AB108" s="58"/>
      <c r="AC108" s="166"/>
    </row>
    <row r="109" spans="2:29">
      <c r="W109" s="165"/>
      <c r="X109" s="165"/>
      <c r="Y109" s="165"/>
      <c r="Z109" s="165"/>
      <c r="AA109" s="165"/>
      <c r="AB109" s="186"/>
      <c r="AC109" s="166"/>
    </row>
    <row r="110" spans="2:29">
      <c r="W110" s="165"/>
      <c r="X110" s="165"/>
      <c r="Y110" s="165"/>
      <c r="Z110" s="165"/>
      <c r="AA110" s="165"/>
      <c r="AB110" s="186"/>
      <c r="AC110" s="166"/>
    </row>
    <row r="111" spans="2:29">
      <c r="W111" s="165"/>
      <c r="X111" s="165"/>
      <c r="Y111" s="165"/>
      <c r="Z111" s="165"/>
      <c r="AA111" s="165"/>
      <c r="AB111" s="186"/>
      <c r="AC111" s="166"/>
    </row>
    <row r="112" spans="2:29">
      <c r="W112" s="165"/>
      <c r="X112" s="165"/>
      <c r="Y112" s="165"/>
      <c r="Z112" s="165"/>
      <c r="AA112" s="165"/>
      <c r="AB112" s="186"/>
      <c r="AC112" s="166"/>
    </row>
    <row r="113" spans="23:29">
      <c r="W113" s="165"/>
      <c r="X113" s="165"/>
      <c r="Y113" s="165"/>
      <c r="Z113" s="165"/>
      <c r="AA113" s="165"/>
      <c r="AB113" s="186"/>
      <c r="AC113" s="166"/>
    </row>
    <row r="114" spans="23:29">
      <c r="W114" s="165"/>
      <c r="X114" s="165"/>
      <c r="Y114" s="165"/>
      <c r="Z114" s="165"/>
      <c r="AA114" s="165"/>
      <c r="AB114" s="186"/>
      <c r="AC114" s="166"/>
    </row>
    <row r="115" spans="23:29">
      <c r="W115" s="165"/>
      <c r="X115" s="165"/>
      <c r="Y115" s="165"/>
      <c r="Z115" s="165"/>
      <c r="AA115" s="165"/>
      <c r="AB115" s="186"/>
      <c r="AC115" s="166"/>
    </row>
    <row r="116" spans="23:29">
      <c r="W116" s="165"/>
      <c r="X116" s="165"/>
      <c r="Y116" s="165"/>
      <c r="Z116" s="165"/>
      <c r="AA116" s="165"/>
      <c r="AB116" s="186"/>
      <c r="AC116" s="166"/>
    </row>
    <row r="117" spans="23:29">
      <c r="W117" s="165"/>
      <c r="X117" s="165"/>
      <c r="Y117" s="165"/>
      <c r="Z117" s="165"/>
      <c r="AA117" s="165"/>
      <c r="AB117" s="186"/>
      <c r="AC117" s="166"/>
    </row>
    <row r="118" spans="23:29">
      <c r="W118" s="165"/>
      <c r="X118" s="165"/>
      <c r="Y118" s="165"/>
      <c r="Z118" s="165"/>
      <c r="AA118" s="165"/>
      <c r="AB118" s="186"/>
      <c r="AC118" s="166"/>
    </row>
    <row r="119" spans="23:29">
      <c r="W119" s="165"/>
      <c r="X119" s="165"/>
      <c r="Y119" s="165"/>
      <c r="Z119" s="165"/>
      <c r="AA119" s="165"/>
      <c r="AB119" s="186"/>
      <c r="AC119" s="166"/>
    </row>
    <row r="120" spans="23:29">
      <c r="W120" s="165"/>
      <c r="X120" s="165"/>
      <c r="Y120" s="165"/>
      <c r="Z120" s="165"/>
      <c r="AA120" s="165"/>
      <c r="AB120" s="186"/>
      <c r="AC120" s="166"/>
    </row>
    <row r="121" spans="23:29">
      <c r="W121" s="165"/>
      <c r="X121" s="165"/>
      <c r="Y121" s="165"/>
      <c r="Z121" s="165"/>
      <c r="AA121" s="165"/>
      <c r="AB121" s="186"/>
      <c r="AC121" s="166"/>
    </row>
    <row r="122" spans="23:29">
      <c r="W122" s="165"/>
      <c r="X122" s="165"/>
      <c r="Y122" s="165"/>
      <c r="Z122" s="165"/>
      <c r="AA122" s="165"/>
      <c r="AB122" s="186"/>
      <c r="AC122" s="166"/>
    </row>
    <row r="123" spans="23:29">
      <c r="W123" s="165"/>
      <c r="X123" s="165"/>
      <c r="Y123" s="165"/>
      <c r="Z123" s="165"/>
      <c r="AA123" s="165"/>
      <c r="AB123" s="186"/>
      <c r="AC123" s="166"/>
    </row>
    <row r="124" spans="23:29">
      <c r="W124" s="165"/>
      <c r="X124" s="165"/>
      <c r="Y124" s="165"/>
      <c r="Z124" s="165"/>
      <c r="AA124" s="165"/>
      <c r="AB124" s="186"/>
      <c r="AC124" s="166"/>
    </row>
    <row r="125" spans="23:29">
      <c r="W125" s="165"/>
      <c r="X125" s="165"/>
      <c r="Y125" s="165"/>
      <c r="Z125" s="165"/>
      <c r="AA125" s="165"/>
      <c r="AB125" s="186"/>
      <c r="AC125" s="166"/>
    </row>
    <row r="126" spans="23:29">
      <c r="W126" s="165"/>
      <c r="X126" s="165"/>
      <c r="Y126" s="165"/>
      <c r="Z126" s="165"/>
      <c r="AA126" s="165"/>
      <c r="AB126" s="186"/>
      <c r="AC126" s="166"/>
    </row>
    <row r="127" spans="23:29">
      <c r="W127" s="165"/>
      <c r="X127" s="165"/>
      <c r="Y127" s="165"/>
      <c r="Z127" s="165"/>
      <c r="AA127" s="165"/>
      <c r="AB127" s="186"/>
      <c r="AC127" s="166"/>
    </row>
    <row r="128" spans="23:29">
      <c r="W128" s="165"/>
      <c r="X128" s="165"/>
      <c r="Y128" s="165"/>
      <c r="Z128" s="165"/>
      <c r="AA128" s="165"/>
      <c r="AB128" s="186"/>
      <c r="AC128" s="166"/>
    </row>
    <row r="129" spans="23:29">
      <c r="W129" s="165"/>
      <c r="X129" s="165"/>
      <c r="Y129" s="165"/>
      <c r="Z129" s="165"/>
      <c r="AA129" s="165"/>
      <c r="AB129" s="186"/>
      <c r="AC129" s="166"/>
    </row>
    <row r="130" spans="23:29">
      <c r="W130" s="165"/>
      <c r="X130" s="165"/>
      <c r="Y130" s="165"/>
      <c r="Z130" s="165"/>
      <c r="AA130" s="165"/>
      <c r="AB130" s="186"/>
      <c r="AC130" s="166"/>
    </row>
    <row r="131" spans="23:29">
      <c r="W131" s="165"/>
      <c r="X131" s="165"/>
      <c r="Y131" s="165"/>
      <c r="Z131" s="165"/>
      <c r="AA131" s="165"/>
      <c r="AB131" s="186"/>
      <c r="AC131" s="166"/>
    </row>
    <row r="132" spans="23:29">
      <c r="W132" s="165"/>
      <c r="X132" s="165"/>
      <c r="Y132" s="165"/>
      <c r="Z132" s="165"/>
      <c r="AA132" s="165"/>
      <c r="AB132" s="186"/>
      <c r="AC132" s="166"/>
    </row>
    <row r="133" spans="23:29">
      <c r="W133" s="165"/>
      <c r="X133" s="165"/>
      <c r="Y133" s="165"/>
      <c r="Z133" s="165"/>
      <c r="AA133" s="165"/>
      <c r="AB133" s="186"/>
      <c r="AC133" s="166"/>
    </row>
    <row r="134" spans="23:29">
      <c r="W134" s="165"/>
      <c r="X134" s="165"/>
      <c r="Y134" s="165"/>
      <c r="Z134" s="165"/>
      <c r="AA134" s="165"/>
      <c r="AB134" s="186"/>
      <c r="AC134" s="166"/>
    </row>
    <row r="135" spans="23:29">
      <c r="W135" s="165"/>
      <c r="X135" s="165"/>
      <c r="Y135" s="165"/>
      <c r="Z135" s="165"/>
      <c r="AA135" s="165"/>
      <c r="AB135" s="186"/>
      <c r="AC135" s="166"/>
    </row>
    <row r="136" spans="23:29">
      <c r="W136" s="165"/>
      <c r="X136" s="165"/>
      <c r="Y136" s="165"/>
      <c r="Z136" s="165"/>
      <c r="AA136" s="165"/>
      <c r="AB136" s="186"/>
      <c r="AC136" s="166"/>
    </row>
    <row r="137" spans="23:29">
      <c r="W137" s="165"/>
      <c r="X137" s="165"/>
      <c r="Y137" s="165"/>
      <c r="Z137" s="165"/>
      <c r="AA137" s="165"/>
      <c r="AB137" s="186"/>
      <c r="AC137" s="166"/>
    </row>
    <row r="138" spans="23:29">
      <c r="W138" s="165"/>
      <c r="X138" s="165"/>
      <c r="Y138" s="165"/>
      <c r="Z138" s="165"/>
      <c r="AA138" s="165"/>
      <c r="AB138" s="186"/>
      <c r="AC138" s="166"/>
    </row>
    <row r="139" spans="23:29">
      <c r="W139" s="165"/>
      <c r="X139" s="165"/>
      <c r="Y139" s="165"/>
      <c r="Z139" s="165"/>
      <c r="AA139" s="165"/>
      <c r="AB139" s="186"/>
      <c r="AC139" s="166"/>
    </row>
    <row r="140" spans="23:29">
      <c r="W140" s="165"/>
      <c r="X140" s="165"/>
      <c r="Y140" s="165"/>
      <c r="Z140" s="165"/>
      <c r="AA140" s="165"/>
      <c r="AB140" s="186"/>
      <c r="AC140" s="166"/>
    </row>
    <row r="141" spans="23:29">
      <c r="W141" s="165"/>
      <c r="X141" s="165"/>
      <c r="Y141" s="165"/>
      <c r="Z141" s="165"/>
      <c r="AA141" s="165"/>
      <c r="AB141" s="186"/>
      <c r="AC141" s="166"/>
    </row>
    <row r="142" spans="23:29">
      <c r="W142" s="165"/>
      <c r="X142" s="165"/>
      <c r="Y142" s="165"/>
      <c r="Z142" s="165"/>
      <c r="AA142" s="165"/>
      <c r="AB142" s="186"/>
      <c r="AC142" s="166"/>
    </row>
    <row r="143" spans="23:29">
      <c r="W143" s="165"/>
      <c r="X143" s="165"/>
      <c r="Y143" s="165"/>
      <c r="Z143" s="165"/>
      <c r="AA143" s="165"/>
      <c r="AB143" s="186"/>
      <c r="AC143" s="166"/>
    </row>
    <row r="144" spans="23:29">
      <c r="W144" s="165"/>
      <c r="X144" s="165"/>
      <c r="Y144" s="165"/>
      <c r="Z144" s="165"/>
      <c r="AA144" s="165"/>
      <c r="AB144" s="186"/>
      <c r="AC144" s="166"/>
    </row>
    <row r="145" spans="23:29">
      <c r="W145" s="165"/>
      <c r="X145" s="165"/>
      <c r="Y145" s="165"/>
      <c r="Z145" s="165"/>
      <c r="AA145" s="165"/>
      <c r="AB145" s="186"/>
      <c r="AC145" s="166"/>
    </row>
    <row r="146" spans="23:29">
      <c r="W146" s="165"/>
      <c r="X146" s="165"/>
      <c r="Y146" s="165"/>
      <c r="Z146" s="165"/>
      <c r="AA146" s="165"/>
      <c r="AB146" s="186"/>
      <c r="AC146" s="166"/>
    </row>
    <row r="147" spans="23:29">
      <c r="W147" s="165"/>
      <c r="X147" s="165"/>
      <c r="Y147" s="165"/>
      <c r="Z147" s="165"/>
      <c r="AA147" s="165"/>
      <c r="AB147" s="186"/>
      <c r="AC147" s="166"/>
    </row>
    <row r="148" spans="23:29">
      <c r="W148" s="165"/>
      <c r="X148" s="165"/>
      <c r="Y148" s="165"/>
      <c r="Z148" s="165"/>
      <c r="AA148" s="165"/>
      <c r="AB148" s="186"/>
      <c r="AC148" s="166"/>
    </row>
    <row r="149" spans="23:29">
      <c r="W149" s="165"/>
      <c r="X149" s="165"/>
      <c r="Y149" s="165"/>
      <c r="Z149" s="165"/>
      <c r="AA149" s="165"/>
      <c r="AB149" s="186"/>
      <c r="AC149" s="166"/>
    </row>
    <row r="150" spans="23:29">
      <c r="W150" s="165"/>
      <c r="X150" s="165"/>
      <c r="Y150" s="165"/>
      <c r="Z150" s="165"/>
      <c r="AA150" s="165"/>
      <c r="AB150" s="186"/>
      <c r="AC150" s="166"/>
    </row>
    <row r="151" spans="23:29">
      <c r="W151" s="165"/>
      <c r="X151" s="165"/>
      <c r="Y151" s="165"/>
      <c r="Z151" s="165"/>
      <c r="AA151" s="165"/>
      <c r="AB151" s="186"/>
      <c r="AC151" s="166"/>
    </row>
    <row r="152" spans="23:29">
      <c r="W152" s="165"/>
      <c r="X152" s="165"/>
      <c r="Y152" s="165"/>
      <c r="Z152" s="165"/>
      <c r="AA152" s="165"/>
      <c r="AB152" s="186"/>
      <c r="AC152" s="166"/>
    </row>
    <row r="153" spans="23:29">
      <c r="W153" s="165"/>
      <c r="X153" s="165"/>
      <c r="Y153" s="165"/>
      <c r="Z153" s="165"/>
      <c r="AA153" s="165"/>
      <c r="AB153" s="186"/>
      <c r="AC153" s="166"/>
    </row>
    <row r="154" spans="23:29">
      <c r="W154" s="165"/>
      <c r="X154" s="165"/>
      <c r="Y154" s="165"/>
      <c r="Z154" s="165"/>
      <c r="AA154" s="165"/>
      <c r="AB154" s="186"/>
      <c r="AC154" s="166"/>
    </row>
    <row r="155" spans="23:29">
      <c r="W155" s="165"/>
      <c r="X155" s="165"/>
      <c r="Y155" s="165"/>
      <c r="Z155" s="165"/>
      <c r="AA155" s="165"/>
      <c r="AB155" s="186"/>
      <c r="AC155" s="166"/>
    </row>
    <row r="156" spans="23:29">
      <c r="W156" s="165"/>
      <c r="X156" s="165"/>
      <c r="Y156" s="165"/>
      <c r="Z156" s="165"/>
      <c r="AA156" s="165"/>
      <c r="AB156" s="186"/>
      <c r="AC156" s="166"/>
    </row>
    <row r="157" spans="23:29">
      <c r="W157" s="165"/>
      <c r="X157" s="165"/>
      <c r="Y157" s="165"/>
      <c r="Z157" s="165"/>
      <c r="AA157" s="165"/>
      <c r="AB157" s="186"/>
      <c r="AC157" s="166"/>
    </row>
    <row r="158" spans="23:29">
      <c r="W158" s="165"/>
      <c r="X158" s="165"/>
      <c r="Y158" s="165"/>
      <c r="Z158" s="165"/>
      <c r="AA158" s="165"/>
      <c r="AB158" s="186"/>
      <c r="AC158" s="166"/>
    </row>
    <row r="159" spans="23:29">
      <c r="W159" s="165"/>
      <c r="X159" s="165"/>
      <c r="Y159" s="165"/>
      <c r="Z159" s="165"/>
      <c r="AA159" s="165"/>
      <c r="AB159" s="186"/>
      <c r="AC159" s="166"/>
    </row>
    <row r="160" spans="23:29">
      <c r="W160" s="165"/>
      <c r="X160" s="165"/>
      <c r="Y160" s="165"/>
      <c r="Z160" s="165"/>
      <c r="AA160" s="165"/>
      <c r="AB160" s="186"/>
      <c r="AC160" s="166"/>
    </row>
    <row r="161" spans="23:29">
      <c r="W161" s="165"/>
      <c r="X161" s="165"/>
      <c r="Y161" s="165"/>
      <c r="Z161" s="165"/>
      <c r="AA161" s="165"/>
      <c r="AB161" s="186"/>
      <c r="AC161" s="166"/>
    </row>
    <row r="162" spans="23:29">
      <c r="W162" s="165"/>
      <c r="X162" s="165"/>
      <c r="Y162" s="165"/>
      <c r="Z162" s="165"/>
      <c r="AA162" s="165"/>
      <c r="AB162" s="186"/>
      <c r="AC162" s="166"/>
    </row>
    <row r="163" spans="23:29">
      <c r="W163" s="165"/>
      <c r="X163" s="165"/>
      <c r="Y163" s="165"/>
      <c r="Z163" s="165"/>
      <c r="AA163" s="165"/>
      <c r="AB163" s="186"/>
      <c r="AC163" s="166"/>
    </row>
    <row r="164" spans="23:29">
      <c r="W164" s="165"/>
      <c r="X164" s="165"/>
      <c r="Y164" s="165"/>
      <c r="Z164" s="165"/>
      <c r="AA164" s="165"/>
      <c r="AB164" s="186"/>
      <c r="AC164" s="166"/>
    </row>
    <row r="165" spans="23:29">
      <c r="W165" s="165"/>
      <c r="X165" s="165"/>
      <c r="Y165" s="165"/>
      <c r="Z165" s="165"/>
      <c r="AA165" s="165"/>
      <c r="AB165" s="186"/>
      <c r="AC165" s="166"/>
    </row>
    <row r="166" spans="23:29">
      <c r="W166" s="165"/>
      <c r="X166" s="165"/>
      <c r="Y166" s="165"/>
      <c r="Z166" s="165"/>
      <c r="AA166" s="165"/>
      <c r="AB166" s="186"/>
      <c r="AC166" s="166"/>
    </row>
    <row r="167" spans="23:29">
      <c r="W167" s="165"/>
      <c r="X167" s="165"/>
      <c r="Y167" s="165"/>
      <c r="Z167" s="165"/>
      <c r="AA167" s="165"/>
      <c r="AB167" s="186"/>
      <c r="AC167" s="166"/>
    </row>
    <row r="168" spans="23:29">
      <c r="W168" s="165"/>
      <c r="X168" s="165"/>
      <c r="Y168" s="165"/>
      <c r="Z168" s="165"/>
      <c r="AA168" s="165"/>
      <c r="AB168" s="186"/>
      <c r="AC168" s="166"/>
    </row>
    <row r="169" spans="23:29">
      <c r="W169" s="165"/>
      <c r="X169" s="165"/>
      <c r="Y169" s="165"/>
      <c r="Z169" s="165"/>
      <c r="AA169" s="165"/>
      <c r="AB169" s="186"/>
      <c r="AC169" s="166"/>
    </row>
    <row r="170" spans="23:29">
      <c r="W170" s="165"/>
      <c r="X170" s="165"/>
      <c r="Y170" s="165"/>
      <c r="Z170" s="165"/>
      <c r="AA170" s="165"/>
      <c r="AB170" s="186"/>
      <c r="AC170" s="166"/>
    </row>
    <row r="171" spans="23:29">
      <c r="W171" s="165"/>
      <c r="X171" s="165"/>
      <c r="Y171" s="165"/>
      <c r="Z171" s="165"/>
      <c r="AA171" s="165"/>
      <c r="AB171" s="186"/>
      <c r="AC171" s="166"/>
    </row>
    <row r="172" spans="23:29">
      <c r="W172" s="165"/>
      <c r="X172" s="165"/>
      <c r="Y172" s="165"/>
      <c r="Z172" s="165"/>
      <c r="AA172" s="165"/>
      <c r="AB172" s="186"/>
      <c r="AC172" s="166"/>
    </row>
    <row r="173" spans="23:29">
      <c r="W173" s="165"/>
      <c r="X173" s="165"/>
      <c r="Y173" s="165"/>
      <c r="Z173" s="165"/>
      <c r="AA173" s="165"/>
      <c r="AB173" s="186"/>
      <c r="AC173" s="166"/>
    </row>
    <row r="174" spans="23:29">
      <c r="W174" s="165"/>
      <c r="X174" s="165"/>
      <c r="Y174" s="165"/>
      <c r="Z174" s="165"/>
      <c r="AA174" s="165"/>
      <c r="AB174" s="186"/>
      <c r="AC174" s="166"/>
    </row>
    <row r="175" spans="23:29">
      <c r="W175" s="165"/>
      <c r="X175" s="165"/>
      <c r="Y175" s="165"/>
      <c r="Z175" s="165"/>
      <c r="AA175" s="165"/>
      <c r="AB175" s="186"/>
      <c r="AC175" s="166"/>
    </row>
    <row r="176" spans="23:29">
      <c r="W176" s="165"/>
      <c r="X176" s="165"/>
      <c r="Y176" s="165"/>
      <c r="Z176" s="165"/>
      <c r="AA176" s="165"/>
      <c r="AB176" s="186"/>
      <c r="AC176" s="166"/>
    </row>
    <row r="177" spans="23:29">
      <c r="W177" s="165"/>
      <c r="X177" s="165"/>
      <c r="Y177" s="165"/>
      <c r="Z177" s="165"/>
      <c r="AA177" s="165"/>
      <c r="AB177" s="186"/>
      <c r="AC177" s="166"/>
    </row>
    <row r="178" spans="23:29">
      <c r="W178" s="165"/>
      <c r="X178" s="165"/>
      <c r="Y178" s="165"/>
      <c r="Z178" s="165"/>
      <c r="AA178" s="165"/>
      <c r="AB178" s="186"/>
      <c r="AC178" s="166"/>
    </row>
    <row r="179" spans="23:29">
      <c r="W179" s="165"/>
      <c r="X179" s="165"/>
      <c r="Y179" s="165"/>
      <c r="Z179" s="165"/>
      <c r="AA179" s="165"/>
      <c r="AB179" s="186"/>
      <c r="AC179" s="166"/>
    </row>
    <row r="180" spans="23:29">
      <c r="W180" s="165"/>
      <c r="X180" s="165"/>
      <c r="Y180" s="165"/>
      <c r="Z180" s="165"/>
      <c r="AA180" s="165"/>
      <c r="AB180" s="186"/>
      <c r="AC180" s="166"/>
    </row>
    <row r="181" spans="23:29">
      <c r="W181" s="165"/>
      <c r="X181" s="165"/>
      <c r="Y181" s="165"/>
      <c r="Z181" s="165"/>
      <c r="AA181" s="165"/>
      <c r="AB181" s="186"/>
      <c r="AC181" s="166"/>
    </row>
    <row r="182" spans="23:29">
      <c r="W182" s="165"/>
      <c r="X182" s="165"/>
      <c r="Y182" s="165"/>
      <c r="Z182" s="165"/>
      <c r="AA182" s="165"/>
      <c r="AB182" s="186"/>
      <c r="AC182" s="166"/>
    </row>
    <row r="183" spans="23:29">
      <c r="W183" s="165"/>
      <c r="X183" s="165"/>
      <c r="Y183" s="165"/>
      <c r="Z183" s="165"/>
      <c r="AA183" s="165"/>
      <c r="AB183" s="186"/>
      <c r="AC183" s="166"/>
    </row>
    <row r="184" spans="23:29">
      <c r="W184" s="165"/>
      <c r="X184" s="165"/>
      <c r="Y184" s="165"/>
      <c r="Z184" s="165"/>
      <c r="AA184" s="165"/>
      <c r="AB184" s="186"/>
      <c r="AC184" s="166"/>
    </row>
    <row r="185" spans="23:29">
      <c r="W185" s="165"/>
      <c r="X185" s="165"/>
      <c r="Y185" s="165"/>
      <c r="Z185" s="165"/>
      <c r="AA185" s="165"/>
      <c r="AB185" s="186"/>
      <c r="AC185" s="166"/>
    </row>
    <row r="186" spans="23:29">
      <c r="W186" s="165"/>
      <c r="X186" s="165"/>
      <c r="Y186" s="165"/>
      <c r="Z186" s="165"/>
      <c r="AA186" s="165"/>
      <c r="AB186" s="186"/>
      <c r="AC186" s="166"/>
    </row>
    <row r="187" spans="23:29">
      <c r="W187" s="165"/>
      <c r="X187" s="165"/>
      <c r="Y187" s="165"/>
      <c r="Z187" s="165"/>
      <c r="AA187" s="165"/>
      <c r="AB187" s="186"/>
      <c r="AC187" s="166"/>
    </row>
    <row r="188" spans="23:29">
      <c r="W188" s="165"/>
      <c r="X188" s="165"/>
      <c r="Y188" s="165"/>
      <c r="Z188" s="165"/>
      <c r="AA188" s="165"/>
      <c r="AB188" s="186"/>
      <c r="AC188" s="166"/>
    </row>
    <row r="189" spans="23:29">
      <c r="W189" s="165"/>
      <c r="X189" s="165"/>
      <c r="Y189" s="165"/>
      <c r="Z189" s="165"/>
      <c r="AA189" s="165"/>
      <c r="AB189" s="186"/>
      <c r="AC189" s="166"/>
    </row>
    <row r="190" spans="23:29">
      <c r="W190" s="165"/>
      <c r="X190" s="165"/>
      <c r="Y190" s="165"/>
      <c r="Z190" s="165"/>
      <c r="AA190" s="165"/>
      <c r="AB190" s="186"/>
      <c r="AC190" s="166"/>
    </row>
    <row r="191" spans="23:29">
      <c r="W191" s="165"/>
      <c r="X191" s="165"/>
      <c r="Y191" s="165"/>
      <c r="Z191" s="165"/>
      <c r="AA191" s="165"/>
      <c r="AB191" s="186"/>
      <c r="AC191" s="166"/>
    </row>
    <row r="192" spans="23:29">
      <c r="W192" s="165"/>
      <c r="X192" s="165"/>
      <c r="Y192" s="165"/>
      <c r="Z192" s="165"/>
      <c r="AA192" s="165"/>
      <c r="AB192" s="186"/>
      <c r="AC192" s="166"/>
    </row>
    <row r="193" spans="23:29">
      <c r="W193" s="165"/>
      <c r="X193" s="165"/>
      <c r="Y193" s="165"/>
      <c r="Z193" s="165"/>
      <c r="AA193" s="165"/>
      <c r="AB193" s="186"/>
      <c r="AC193" s="166"/>
    </row>
    <row r="194" spans="23:29">
      <c r="W194" s="165"/>
      <c r="X194" s="165"/>
      <c r="Y194" s="165"/>
      <c r="Z194" s="165"/>
      <c r="AA194" s="165"/>
      <c r="AB194" s="186"/>
      <c r="AC194" s="166"/>
    </row>
    <row r="195" spans="23:29">
      <c r="W195" s="165"/>
      <c r="X195" s="165"/>
      <c r="Y195" s="165"/>
      <c r="Z195" s="165"/>
      <c r="AA195" s="165"/>
      <c r="AB195" s="186"/>
      <c r="AC195" s="166"/>
    </row>
    <row r="196" spans="23:29">
      <c r="W196" s="165"/>
      <c r="X196" s="165"/>
      <c r="Y196" s="165"/>
      <c r="Z196" s="165"/>
      <c r="AA196" s="165"/>
      <c r="AB196" s="186"/>
      <c r="AC196" s="166"/>
    </row>
    <row r="197" spans="23:29">
      <c r="W197" s="165"/>
      <c r="X197" s="165"/>
      <c r="Y197" s="165"/>
      <c r="Z197" s="165"/>
      <c r="AA197" s="165"/>
      <c r="AB197" s="186"/>
      <c r="AC197" s="166"/>
    </row>
  </sheetData>
  <mergeCells count="216">
    <mergeCell ref="M80:M82"/>
    <mergeCell ref="N80:N82"/>
    <mergeCell ref="P80:P82"/>
    <mergeCell ref="Q80:Q82"/>
    <mergeCell ref="Z83:Z84"/>
    <mergeCell ref="AB83:AB84"/>
    <mergeCell ref="E83:E84"/>
    <mergeCell ref="G83:G84"/>
    <mergeCell ref="L83:L84"/>
    <mergeCell ref="N83:N84"/>
    <mergeCell ref="S83:S84"/>
    <mergeCell ref="U83:U8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M44:M46"/>
    <mergeCell ref="N44:N46"/>
    <mergeCell ref="P44:P46"/>
    <mergeCell ref="Q44:Q46"/>
    <mergeCell ref="B62:B64"/>
    <mergeCell ref="C62:C64"/>
    <mergeCell ref="D62:D64"/>
    <mergeCell ref="E62:E64"/>
    <mergeCell ref="F62:F64"/>
    <mergeCell ref="G62:G64"/>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M7:M9"/>
    <mergeCell ref="N7:N9"/>
    <mergeCell ref="P7:P9"/>
    <mergeCell ref="Q7:Q9"/>
    <mergeCell ref="B26:B28"/>
    <mergeCell ref="C26:C28"/>
    <mergeCell ref="D26:D28"/>
    <mergeCell ref="E26:E28"/>
    <mergeCell ref="F26:F28"/>
    <mergeCell ref="G26:G28"/>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E96:E97"/>
    <mergeCell ref="G96:G97"/>
    <mergeCell ref="B98:B100"/>
    <mergeCell ref="C98:C100"/>
    <mergeCell ref="D98:D100"/>
    <mergeCell ref="E98:E100"/>
    <mergeCell ref="F98:F100"/>
    <mergeCell ref="G98:G100"/>
    <mergeCell ref="E101:E102"/>
    <mergeCell ref="G101:G102"/>
    <mergeCell ref="I98:I100"/>
    <mergeCell ref="J98:J100"/>
    <mergeCell ref="K98:K100"/>
    <mergeCell ref="L98:L100"/>
    <mergeCell ref="M98:M100"/>
    <mergeCell ref="N98:N100"/>
    <mergeCell ref="P98:P100"/>
    <mergeCell ref="Q98:Q100"/>
    <mergeCell ref="R98:R100"/>
    <mergeCell ref="L101:L102"/>
    <mergeCell ref="N101:N102"/>
    <mergeCell ref="S101:S102"/>
    <mergeCell ref="U101:U102"/>
    <mergeCell ref="Z101:Z102"/>
    <mergeCell ref="AB101:AB102"/>
    <mergeCell ref="L96:L97"/>
    <mergeCell ref="N96:N97"/>
    <mergeCell ref="S96:S97"/>
    <mergeCell ref="U96:U97"/>
    <mergeCell ref="Z96:Z97"/>
    <mergeCell ref="AB96:AB97"/>
    <mergeCell ref="S98:S100"/>
    <mergeCell ref="T98:T100"/>
    <mergeCell ref="U98:U100"/>
    <mergeCell ref="Z98:Z100"/>
    <mergeCell ref="AB98:AB100"/>
  </mergeCells>
  <pageMargins left="0.7" right="0.7" top="0.75" bottom="0.75" header="0.3" footer="0.3"/>
  <pageSetup paperSize="8" orientation="portrait" r:id="rId1"/>
  <rowBreaks count="1" manualBreakCount="1">
    <brk id="55" max="6"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116"/>
  <sheetViews>
    <sheetView workbookViewId="0">
      <selection activeCell="D1" sqref="D1"/>
    </sheetView>
  </sheetViews>
  <sheetFormatPr defaultColWidth="9.28515625" defaultRowHeight="15"/>
  <cols>
    <col min="1" max="1" width="3.42578125" style="68" customWidth="1"/>
    <col min="2" max="9" width="9.28515625" style="68"/>
    <col min="10" max="10" width="3.42578125" style="68" customWidth="1"/>
    <col min="11" max="11" width="9.28515625" style="69" customWidth="1"/>
    <col min="12" max="18" width="9.28515625" style="68" customWidth="1"/>
    <col min="19" max="19" width="3.42578125" style="68" customWidth="1"/>
    <col min="20" max="27" width="9.28515625" style="68" customWidth="1"/>
    <col min="28" max="28" width="3.42578125" style="68" customWidth="1"/>
    <col min="29" max="36" width="9.28515625" style="68" customWidth="1"/>
    <col min="37" max="37" width="3.42578125" style="68" customWidth="1"/>
    <col min="38" max="47" width="9.28515625" style="68" customWidth="1"/>
    <col min="48" max="50" width="9.28515625" style="68"/>
    <col min="51" max="51" width="9.28515625" style="74"/>
    <col min="52" max="55" width="10" style="74" customWidth="1"/>
    <col min="56" max="16384" width="9.28515625" style="68"/>
  </cols>
  <sheetData>
    <row r="1" spans="2:56" s="67" customFormat="1" ht="35.25" customHeight="1">
      <c r="B1" s="73" t="s">
        <v>63</v>
      </c>
      <c r="K1" s="453"/>
      <c r="L1" s="453"/>
      <c r="M1" s="453"/>
      <c r="N1" s="453"/>
      <c r="O1" s="453"/>
      <c r="P1" s="453"/>
      <c r="Q1" s="453"/>
      <c r="R1" s="453"/>
      <c r="S1" s="453"/>
      <c r="T1" s="453"/>
      <c r="U1" s="453"/>
      <c r="V1" s="453"/>
      <c r="W1" s="453"/>
      <c r="X1" s="453"/>
      <c r="AY1" s="73"/>
      <c r="AZ1" s="73"/>
      <c r="BA1" s="73"/>
      <c r="BB1" s="73"/>
      <c r="BC1" s="73"/>
    </row>
    <row r="2" spans="2:56" s="67" customFormat="1" ht="35.25" hidden="1">
      <c r="K2" s="453"/>
      <c r="L2" s="453"/>
      <c r="M2" s="453"/>
      <c r="N2" s="453"/>
      <c r="O2" s="453"/>
      <c r="P2" s="453"/>
      <c r="Q2" s="453"/>
      <c r="R2" s="453"/>
      <c r="S2" s="453"/>
      <c r="T2" s="453"/>
      <c r="U2" s="453"/>
      <c r="V2" s="453"/>
      <c r="W2" s="453"/>
      <c r="X2" s="453"/>
      <c r="AY2" s="73"/>
      <c r="AZ2" s="73"/>
      <c r="BA2" s="73"/>
      <c r="BB2" s="73"/>
      <c r="BC2" s="73"/>
    </row>
    <row r="3" spans="2:56" s="67" customFormat="1" ht="35.25" hidden="1">
      <c r="K3" s="453"/>
      <c r="L3" s="453"/>
      <c r="M3" s="453"/>
      <c r="N3" s="453"/>
      <c r="O3" s="453"/>
      <c r="P3" s="453"/>
      <c r="Q3" s="453"/>
      <c r="R3" s="453"/>
      <c r="S3" s="453"/>
      <c r="T3" s="453"/>
      <c r="U3" s="453"/>
      <c r="V3" s="453"/>
      <c r="W3" s="453"/>
      <c r="X3" s="453"/>
      <c r="AY3" s="73"/>
      <c r="AZ3" s="73"/>
      <c r="BA3" s="73"/>
      <c r="BB3" s="73"/>
      <c r="BC3" s="73"/>
    </row>
    <row r="4" spans="2:56">
      <c r="N4" s="70"/>
      <c r="W4" s="70"/>
      <c r="AF4" s="70"/>
      <c r="AO4" s="70"/>
    </row>
    <row r="5" spans="2:56">
      <c r="AY5" s="75" t="s">
        <v>202</v>
      </c>
      <c r="AZ5" s="76"/>
      <c r="BA5" s="76"/>
      <c r="BB5" s="76"/>
      <c r="BC5" s="76"/>
      <c r="BD5" s="69"/>
    </row>
    <row r="6" spans="2:56">
      <c r="AY6" s="77"/>
      <c r="AZ6" s="78" t="s">
        <v>13</v>
      </c>
      <c r="BA6" s="78" t="s">
        <v>14</v>
      </c>
      <c r="BB6" s="78" t="s">
        <v>15</v>
      </c>
      <c r="BC6" s="78" t="s">
        <v>12</v>
      </c>
      <c r="BD6" s="69"/>
    </row>
    <row r="7" spans="2:56">
      <c r="AY7" s="79" t="s">
        <v>55</v>
      </c>
      <c r="AZ7" s="80">
        <f>'3a. % by Portfolio'!G5</f>
        <v>0.94444444444444442</v>
      </c>
      <c r="BA7" s="80">
        <f>'3a. % by Portfolio'!N5</f>
        <v>0.95454545454545459</v>
      </c>
      <c r="BB7" s="80">
        <f>'3a. % by Portfolio'!U5</f>
        <v>0.95652173913043481</v>
      </c>
      <c r="BC7" s="80">
        <f>'3a. % by Portfolio'!AB5</f>
        <v>0.91304347826086951</v>
      </c>
      <c r="BD7" s="69"/>
    </row>
    <row r="8" spans="2:56">
      <c r="L8" s="71"/>
      <c r="M8" s="71"/>
      <c r="AY8" s="79" t="s">
        <v>56</v>
      </c>
      <c r="AZ8" s="80">
        <f>'3a. % by Portfolio'!G7</f>
        <v>5.5555555555555552E-2</v>
      </c>
      <c r="BA8" s="80">
        <f>'3a. % by Portfolio'!N7</f>
        <v>0</v>
      </c>
      <c r="BB8" s="80">
        <f>'3a. % by Portfolio'!U7</f>
        <v>0</v>
      </c>
      <c r="BC8" s="80">
        <f>'3a. % by Portfolio'!AB7</f>
        <v>0</v>
      </c>
      <c r="BD8" s="69"/>
    </row>
    <row r="9" spans="2:56">
      <c r="L9" s="71"/>
      <c r="M9" s="71"/>
      <c r="AY9" s="79" t="s">
        <v>57</v>
      </c>
      <c r="AZ9" s="80">
        <f>'3a. % by Portfolio'!G10</f>
        <v>0</v>
      </c>
      <c r="BA9" s="80">
        <f>'3a. % by Portfolio'!N10</f>
        <v>4.5454545454545456E-2</v>
      </c>
      <c r="BB9" s="80">
        <f>'3a. % by Portfolio'!U10</f>
        <v>4.3478260869565216E-2</v>
      </c>
      <c r="BC9" s="80">
        <f>'3a. % by Portfolio'!AB10</f>
        <v>8.6956521739130432E-2</v>
      </c>
      <c r="BD9" s="69"/>
    </row>
    <row r="10" spans="2:56">
      <c r="L10" s="71"/>
      <c r="M10" s="71"/>
      <c r="AY10" s="77"/>
      <c r="AZ10" s="81"/>
      <c r="BA10" s="81"/>
      <c r="BB10" s="81"/>
      <c r="BC10" s="81"/>
      <c r="BD10" s="69"/>
    </row>
    <row r="11" spans="2:56">
      <c r="AY11" s="82"/>
      <c r="AZ11" s="83"/>
      <c r="BA11" s="83"/>
      <c r="BB11" s="83"/>
      <c r="BC11" s="83"/>
      <c r="BD11" s="69"/>
    </row>
    <row r="12" spans="2:56">
      <c r="AY12" s="82"/>
      <c r="AZ12" s="83"/>
      <c r="BA12" s="83"/>
      <c r="BB12" s="83"/>
      <c r="BC12" s="83"/>
      <c r="BD12" s="69"/>
    </row>
    <row r="13" spans="2:56">
      <c r="AY13" s="82"/>
      <c r="AZ13" s="83"/>
      <c r="BA13" s="83"/>
      <c r="BB13" s="83"/>
      <c r="BC13" s="83"/>
      <c r="BD13" s="69"/>
    </row>
    <row r="14" spans="2:56">
      <c r="AY14" s="76"/>
      <c r="AZ14" s="76"/>
      <c r="BA14" s="76"/>
      <c r="BB14" s="76"/>
      <c r="BC14" s="76"/>
      <c r="BD14" s="69"/>
    </row>
    <row r="15" spans="2:56">
      <c r="AY15" s="76"/>
      <c r="AZ15" s="76"/>
      <c r="BA15" s="76"/>
      <c r="BB15" s="76"/>
      <c r="BC15" s="76"/>
      <c r="BD15" s="69"/>
    </row>
    <row r="16" spans="2:56">
      <c r="AY16" s="76"/>
      <c r="AZ16" s="76"/>
      <c r="BA16" s="76"/>
      <c r="BB16" s="76"/>
      <c r="BC16" s="76"/>
      <c r="BD16" s="69"/>
    </row>
    <row r="17" spans="12:56">
      <c r="AY17" s="76"/>
      <c r="AZ17" s="76"/>
      <c r="BA17" s="76"/>
      <c r="BB17" s="76"/>
      <c r="BC17" s="76"/>
      <c r="BD17" s="69"/>
    </row>
    <row r="18" spans="12:56">
      <c r="AY18" s="76"/>
      <c r="AZ18" s="76"/>
      <c r="BA18" s="76"/>
      <c r="BB18" s="76"/>
      <c r="BC18" s="76"/>
      <c r="BD18" s="69"/>
    </row>
    <row r="19" spans="12:56">
      <c r="AY19" s="76"/>
      <c r="AZ19" s="76"/>
      <c r="BA19" s="76"/>
      <c r="BB19" s="76"/>
      <c r="BC19" s="76"/>
      <c r="BD19" s="69"/>
    </row>
    <row r="20" spans="12:56">
      <c r="N20" s="70"/>
      <c r="W20" s="70"/>
      <c r="AF20" s="70"/>
      <c r="AO20" s="70"/>
      <c r="AY20" s="76"/>
      <c r="AZ20" s="76"/>
      <c r="BA20" s="76"/>
      <c r="BB20" s="76"/>
      <c r="BC20" s="76"/>
      <c r="BD20" s="69"/>
    </row>
    <row r="21" spans="12:56">
      <c r="AY21" s="75" t="s">
        <v>110</v>
      </c>
      <c r="AZ21" s="76"/>
      <c r="BA21" s="76"/>
      <c r="BB21" s="76"/>
      <c r="BC21" s="76"/>
      <c r="BD21" s="69"/>
    </row>
    <row r="22" spans="12:56">
      <c r="AY22" s="77"/>
      <c r="AZ22" s="78" t="s">
        <v>13</v>
      </c>
      <c r="BA22" s="78" t="s">
        <v>14</v>
      </c>
      <c r="BB22" s="78" t="s">
        <v>15</v>
      </c>
      <c r="BC22" s="78" t="s">
        <v>12</v>
      </c>
      <c r="BD22" s="69"/>
    </row>
    <row r="23" spans="12:56">
      <c r="AY23" s="79" t="s">
        <v>55</v>
      </c>
      <c r="AZ23" s="80">
        <f>'3a. % by Portfolio'!G24</f>
        <v>0.83333333333333326</v>
      </c>
      <c r="BA23" s="80">
        <f>'3a. % by Portfolio'!N24</f>
        <v>0.90322580645161288</v>
      </c>
      <c r="BB23" s="80">
        <f>'3a. % by Portfolio'!U24</f>
        <v>0.90909090909090917</v>
      </c>
      <c r="BC23" s="80">
        <f>'3a. % by Portfolio'!AB24</f>
        <v>0.91176470588235292</v>
      </c>
      <c r="BD23" s="69"/>
    </row>
    <row r="24" spans="12:56">
      <c r="L24" s="71"/>
      <c r="M24" s="71"/>
      <c r="AY24" s="79" t="s">
        <v>56</v>
      </c>
      <c r="AZ24" s="80">
        <f>'3a. % by Portfolio'!G26</f>
        <v>0.16666666666666666</v>
      </c>
      <c r="BA24" s="80">
        <f>'3a. % by Portfolio'!N26</f>
        <v>6.4516129032258063E-2</v>
      </c>
      <c r="BB24" s="80">
        <f>'3a. % by Portfolio'!U26</f>
        <v>6.0606060606060608E-2</v>
      </c>
      <c r="BC24" s="80">
        <f>'3a. % by Portfolio'!AB26</f>
        <v>2.9411764705882353E-2</v>
      </c>
      <c r="BD24" s="69"/>
    </row>
    <row r="25" spans="12:56">
      <c r="L25" s="71"/>
      <c r="M25" s="71"/>
      <c r="AY25" s="79" t="s">
        <v>57</v>
      </c>
      <c r="AZ25" s="80">
        <f>'3a. % by Portfolio'!G29</f>
        <v>0</v>
      </c>
      <c r="BA25" s="80">
        <f>'3a. % by Portfolio'!N29</f>
        <v>3.2258064516129031E-2</v>
      </c>
      <c r="BB25" s="80">
        <f>'3a. % by Portfolio'!U29</f>
        <v>3.0303030303030304E-2</v>
      </c>
      <c r="BC25" s="80">
        <f>'3a. % by Portfolio'!AB29</f>
        <v>5.8823529411764705E-2</v>
      </c>
      <c r="BD25" s="69"/>
    </row>
    <row r="26" spans="12:56">
      <c r="L26" s="71"/>
      <c r="M26" s="71"/>
      <c r="AY26" s="76"/>
      <c r="AZ26" s="76"/>
      <c r="BA26" s="76"/>
      <c r="BB26" s="76"/>
      <c r="BC26" s="76"/>
      <c r="BD26" s="69"/>
    </row>
    <row r="27" spans="12:56">
      <c r="AY27" s="82"/>
      <c r="AZ27" s="76"/>
      <c r="BA27" s="76"/>
      <c r="BB27" s="76"/>
      <c r="BC27" s="76"/>
      <c r="BD27" s="69"/>
    </row>
    <row r="28" spans="12:56">
      <c r="AY28" s="82"/>
      <c r="AZ28" s="76"/>
      <c r="BA28" s="76"/>
      <c r="BB28" s="76"/>
      <c r="BC28" s="76"/>
      <c r="BD28" s="69"/>
    </row>
    <row r="29" spans="12:56">
      <c r="AY29" s="82"/>
      <c r="AZ29" s="76"/>
      <c r="BA29" s="76"/>
      <c r="BB29" s="76"/>
      <c r="BC29" s="76"/>
      <c r="BD29" s="69"/>
    </row>
    <row r="30" spans="12:56">
      <c r="AY30" s="76"/>
      <c r="AZ30" s="76"/>
      <c r="BA30" s="76"/>
      <c r="BB30" s="76"/>
      <c r="BC30" s="76"/>
      <c r="BD30" s="69"/>
    </row>
    <row r="31" spans="12:56">
      <c r="AY31" s="76"/>
      <c r="AZ31" s="76"/>
      <c r="BA31" s="76"/>
      <c r="BB31" s="76"/>
      <c r="BC31" s="76"/>
      <c r="BD31" s="69"/>
    </row>
    <row r="32" spans="12:56">
      <c r="AY32" s="76"/>
      <c r="AZ32" s="76"/>
      <c r="BA32" s="76"/>
      <c r="BB32" s="76"/>
      <c r="BC32" s="76"/>
      <c r="BD32" s="69"/>
    </row>
    <row r="33" spans="11:56">
      <c r="AY33" s="76"/>
      <c r="AZ33" s="76"/>
      <c r="BA33" s="76"/>
      <c r="BB33" s="76"/>
      <c r="BC33" s="76"/>
      <c r="BD33" s="69"/>
    </row>
    <row r="34" spans="11:56">
      <c r="AY34" s="76"/>
      <c r="AZ34" s="76"/>
      <c r="BA34" s="76"/>
      <c r="BB34" s="76"/>
      <c r="BC34" s="76"/>
      <c r="BD34" s="69"/>
    </row>
    <row r="35" spans="11:56">
      <c r="AY35" s="76"/>
      <c r="AZ35" s="76"/>
      <c r="BA35" s="76"/>
      <c r="BB35" s="76"/>
      <c r="BC35" s="76"/>
      <c r="BD35" s="69"/>
    </row>
    <row r="36" spans="11:56">
      <c r="N36" s="70"/>
      <c r="W36" s="70"/>
      <c r="AF36" s="70"/>
      <c r="AO36" s="70"/>
      <c r="AY36" s="76"/>
      <c r="AZ36" s="76"/>
      <c r="BA36" s="76"/>
      <c r="BB36" s="76"/>
      <c r="BC36" s="76"/>
      <c r="BD36" s="69"/>
    </row>
    <row r="37" spans="11:56">
      <c r="AY37" s="75" t="s">
        <v>204</v>
      </c>
      <c r="AZ37" s="84"/>
      <c r="BA37" s="84"/>
      <c r="BB37" s="84"/>
      <c r="BC37" s="84"/>
      <c r="BD37" s="72"/>
    </row>
    <row r="38" spans="11:56">
      <c r="AY38" s="85"/>
      <c r="AZ38" s="78" t="s">
        <v>13</v>
      </c>
      <c r="BA38" s="78" t="s">
        <v>14</v>
      </c>
      <c r="BB38" s="78" t="s">
        <v>15</v>
      </c>
      <c r="BC38" s="78" t="s">
        <v>12</v>
      </c>
      <c r="BD38" s="72"/>
    </row>
    <row r="39" spans="11:56">
      <c r="AY39" s="79" t="s">
        <v>55</v>
      </c>
      <c r="AZ39" s="80">
        <f>'3a. % by Portfolio'!G42</f>
        <v>1</v>
      </c>
      <c r="BA39" s="80">
        <f>'3a. % by Portfolio'!N42</f>
        <v>1</v>
      </c>
      <c r="BB39" s="80">
        <f>'3a. % by Portfolio'!U42</f>
        <v>1</v>
      </c>
      <c r="BC39" s="80">
        <f>'3a. % by Portfolio'!AB42</f>
        <v>1</v>
      </c>
      <c r="BD39" s="72"/>
    </row>
    <row r="40" spans="11:56">
      <c r="K40" s="71"/>
      <c r="L40" s="71"/>
      <c r="AY40" s="79" t="s">
        <v>56</v>
      </c>
      <c r="AZ40" s="80">
        <f>'3a. % by Portfolio'!G44</f>
        <v>0</v>
      </c>
      <c r="BA40" s="80">
        <f>'3a. % by Portfolio'!N44</f>
        <v>0</v>
      </c>
      <c r="BB40" s="80">
        <f>'3a. % by Portfolio'!U44</f>
        <v>0</v>
      </c>
      <c r="BC40" s="80">
        <f>'3a. % by Portfolio'!AB44</f>
        <v>0</v>
      </c>
      <c r="BD40" s="72"/>
    </row>
    <row r="41" spans="11:56">
      <c r="K41" s="71"/>
      <c r="L41" s="71"/>
      <c r="AY41" s="79" t="s">
        <v>57</v>
      </c>
      <c r="AZ41" s="80">
        <f>'3a. % by Portfolio'!G47</f>
        <v>0</v>
      </c>
      <c r="BA41" s="80">
        <f>'3a. % by Portfolio'!N47</f>
        <v>0</v>
      </c>
      <c r="BB41" s="80">
        <f>'3a. % by Portfolio'!U47</f>
        <v>0</v>
      </c>
      <c r="BC41" s="80">
        <f>'3a. % by Portfolio'!AB47</f>
        <v>0</v>
      </c>
      <c r="BD41" s="72"/>
    </row>
    <row r="42" spans="11:56">
      <c r="K42" s="71"/>
      <c r="L42" s="71"/>
      <c r="AY42" s="76"/>
      <c r="AZ42" s="76"/>
      <c r="BA42" s="76"/>
      <c r="BB42" s="76"/>
      <c r="BC42" s="76"/>
      <c r="BD42" s="69"/>
    </row>
    <row r="43" spans="11:56">
      <c r="AY43" s="82"/>
      <c r="AZ43" s="76"/>
      <c r="BA43" s="76"/>
      <c r="BB43" s="76"/>
      <c r="BC43" s="76"/>
      <c r="BD43" s="69"/>
    </row>
    <row r="44" spans="11:56">
      <c r="AY44" s="82"/>
      <c r="AZ44" s="76"/>
      <c r="BA44" s="76"/>
      <c r="BB44" s="76"/>
      <c r="BC44" s="76"/>
      <c r="BD44" s="69"/>
    </row>
    <row r="45" spans="11:56">
      <c r="AY45" s="82"/>
      <c r="AZ45" s="76"/>
      <c r="BA45" s="76"/>
      <c r="BB45" s="76"/>
      <c r="BC45" s="76"/>
      <c r="BD45" s="69"/>
    </row>
    <row r="46" spans="11:56">
      <c r="AY46" s="76"/>
      <c r="AZ46" s="76"/>
      <c r="BA46" s="76"/>
      <c r="BB46" s="76"/>
      <c r="BC46" s="76"/>
      <c r="BD46" s="69"/>
    </row>
    <row r="47" spans="11:56">
      <c r="AY47" s="76"/>
      <c r="AZ47" s="76"/>
      <c r="BA47" s="76"/>
      <c r="BB47" s="76"/>
      <c r="BC47" s="76"/>
      <c r="BD47" s="69"/>
    </row>
    <row r="48" spans="11:56">
      <c r="AY48" s="76"/>
      <c r="AZ48" s="76"/>
      <c r="BA48" s="76"/>
      <c r="BB48" s="76"/>
      <c r="BC48" s="76"/>
      <c r="BD48" s="69"/>
    </row>
    <row r="49" spans="12:56">
      <c r="AY49" s="76"/>
      <c r="AZ49" s="76"/>
      <c r="BA49" s="76"/>
      <c r="BB49" s="76"/>
      <c r="BC49" s="76"/>
      <c r="BD49" s="69"/>
    </row>
    <row r="50" spans="12:56">
      <c r="AY50" s="76"/>
      <c r="AZ50" s="76"/>
      <c r="BA50" s="76"/>
      <c r="BB50" s="76"/>
      <c r="BC50" s="76"/>
      <c r="BD50" s="69"/>
    </row>
    <row r="51" spans="12:56">
      <c r="AY51" s="76"/>
      <c r="AZ51" s="76"/>
      <c r="BA51" s="76"/>
      <c r="BB51" s="76"/>
      <c r="BC51" s="76"/>
      <c r="BD51" s="69"/>
    </row>
    <row r="52" spans="12:56">
      <c r="N52" s="70"/>
      <c r="W52" s="70"/>
      <c r="AF52" s="70"/>
      <c r="AO52" s="70"/>
      <c r="AY52" s="76"/>
      <c r="AZ52" s="76"/>
      <c r="BA52" s="76"/>
      <c r="BB52" s="76"/>
      <c r="BC52" s="76"/>
      <c r="BD52" s="69"/>
    </row>
    <row r="53" spans="12:56">
      <c r="AY53" s="75" t="s">
        <v>414</v>
      </c>
      <c r="AZ53" s="84"/>
      <c r="BA53" s="84"/>
      <c r="BB53" s="84"/>
      <c r="BC53" s="84"/>
      <c r="BD53" s="69"/>
    </row>
    <row r="54" spans="12:56">
      <c r="AY54" s="85"/>
      <c r="AZ54" s="78" t="s">
        <v>13</v>
      </c>
      <c r="BA54" s="78" t="s">
        <v>14</v>
      </c>
      <c r="BB54" s="78" t="s">
        <v>15</v>
      </c>
      <c r="BC54" s="78" t="s">
        <v>12</v>
      </c>
      <c r="BD54" s="69"/>
    </row>
    <row r="55" spans="12:56">
      <c r="AY55" s="79" t="s">
        <v>55</v>
      </c>
      <c r="AZ55" s="80">
        <f>'3a. % by Portfolio'!G60</f>
        <v>1</v>
      </c>
      <c r="BA55" s="80">
        <f>'3a. % by Portfolio'!N60</f>
        <v>1</v>
      </c>
      <c r="BB55" s="80">
        <f>'3a. % by Portfolio'!U60</f>
        <v>1</v>
      </c>
      <c r="BC55" s="80">
        <f>'3a. % by Portfolio'!AB60</f>
        <v>1</v>
      </c>
      <c r="BD55" s="69"/>
    </row>
    <row r="56" spans="12:56">
      <c r="L56" s="71"/>
      <c r="M56" s="71"/>
      <c r="AY56" s="79" t="s">
        <v>56</v>
      </c>
      <c r="AZ56" s="80">
        <f>'3a. % by Portfolio'!G62</f>
        <v>0</v>
      </c>
      <c r="BA56" s="80">
        <f>'3a. % by Portfolio'!N62</f>
        <v>0</v>
      </c>
      <c r="BB56" s="80">
        <f>'3a. % by Portfolio'!U62</f>
        <v>0</v>
      </c>
      <c r="BC56" s="80">
        <f>'3a. % by Portfolio'!AB62</f>
        <v>0</v>
      </c>
      <c r="BD56" s="69"/>
    </row>
    <row r="57" spans="12:56">
      <c r="L57" s="71"/>
      <c r="M57" s="71"/>
      <c r="AY57" s="79" t="s">
        <v>57</v>
      </c>
      <c r="AZ57" s="80">
        <f>'3a. % by Portfolio'!G65</f>
        <v>0</v>
      </c>
      <c r="BA57" s="80">
        <f>'3a. % by Portfolio'!N65</f>
        <v>0</v>
      </c>
      <c r="BB57" s="80">
        <f>'3a. % by Portfolio'!U65</f>
        <v>0</v>
      </c>
      <c r="BC57" s="80">
        <f>'3a. % by Portfolio'!AB65</f>
        <v>0</v>
      </c>
      <c r="BD57" s="69"/>
    </row>
    <row r="58" spans="12:56">
      <c r="L58" s="71"/>
      <c r="M58" s="71"/>
      <c r="AY58" s="76"/>
      <c r="AZ58" s="76"/>
      <c r="BA58" s="76"/>
      <c r="BB58" s="76"/>
      <c r="BC58" s="76"/>
      <c r="BD58" s="69"/>
    </row>
    <row r="59" spans="12:56">
      <c r="AY59" s="82"/>
      <c r="AZ59" s="76"/>
      <c r="BA59" s="76"/>
      <c r="BB59" s="76"/>
      <c r="BC59" s="76"/>
      <c r="BD59" s="69"/>
    </row>
    <row r="60" spans="12:56">
      <c r="AY60" s="82"/>
      <c r="AZ60" s="76"/>
      <c r="BA60" s="76"/>
      <c r="BB60" s="76"/>
      <c r="BC60" s="76"/>
      <c r="BD60" s="69"/>
    </row>
    <row r="61" spans="12:56">
      <c r="AY61" s="82"/>
      <c r="AZ61" s="76"/>
      <c r="BA61" s="76"/>
      <c r="BB61" s="76"/>
      <c r="BC61" s="76"/>
      <c r="BD61" s="69"/>
    </row>
    <row r="62" spans="12:56">
      <c r="AY62" s="76"/>
      <c r="AZ62" s="76"/>
      <c r="BA62" s="76"/>
      <c r="BB62" s="76"/>
      <c r="BC62" s="76"/>
      <c r="BD62" s="69"/>
    </row>
    <row r="63" spans="12:56">
      <c r="AY63" s="76"/>
      <c r="AZ63" s="76"/>
      <c r="BA63" s="76"/>
      <c r="BB63" s="76"/>
      <c r="BC63" s="76"/>
      <c r="BD63" s="69"/>
    </row>
    <row r="64" spans="12:56">
      <c r="AY64" s="76"/>
      <c r="AZ64" s="76"/>
      <c r="BA64" s="76"/>
      <c r="BB64" s="76"/>
      <c r="BC64" s="76"/>
      <c r="BD64" s="69"/>
    </row>
    <row r="65" spans="14:56">
      <c r="AY65" s="76"/>
      <c r="AZ65" s="76"/>
      <c r="BA65" s="76"/>
      <c r="BB65" s="76"/>
      <c r="BC65" s="76"/>
      <c r="BD65" s="69"/>
    </row>
    <row r="66" spans="14:56">
      <c r="AY66" s="76"/>
      <c r="AZ66" s="76"/>
      <c r="BA66" s="76"/>
      <c r="BB66" s="76"/>
      <c r="BC66" s="76"/>
      <c r="BD66" s="69"/>
    </row>
    <row r="68" spans="14:56">
      <c r="N68" s="70"/>
      <c r="W68" s="70"/>
      <c r="AF68" s="70"/>
      <c r="AO68" s="70"/>
      <c r="AY68" s="76"/>
      <c r="AZ68" s="76"/>
      <c r="BA68" s="76"/>
      <c r="BB68" s="76"/>
      <c r="BC68" s="76"/>
      <c r="BD68" s="69"/>
    </row>
    <row r="69" spans="14:56">
      <c r="AY69" s="75" t="s">
        <v>201</v>
      </c>
      <c r="AZ69" s="84"/>
      <c r="BA69" s="84"/>
      <c r="BB69" s="84"/>
      <c r="BC69" s="84"/>
    </row>
    <row r="70" spans="14:56">
      <c r="AY70" s="85"/>
      <c r="AZ70" s="78" t="s">
        <v>13</v>
      </c>
      <c r="BA70" s="78" t="s">
        <v>14</v>
      </c>
      <c r="BB70" s="78" t="s">
        <v>15</v>
      </c>
      <c r="BC70" s="78" t="s">
        <v>12</v>
      </c>
    </row>
    <row r="71" spans="14:56">
      <c r="AY71" s="79" t="s">
        <v>55</v>
      </c>
      <c r="AZ71" s="80">
        <f>'3a. % by Portfolio'!G78</f>
        <v>0.88888888888888884</v>
      </c>
      <c r="BA71" s="80">
        <f>'3a. % by Portfolio'!N78</f>
        <v>0.90909090909090906</v>
      </c>
      <c r="BB71" s="80">
        <f>'3a. % by Portfolio'!U78</f>
        <v>0.86956521739130432</v>
      </c>
      <c r="BC71" s="80">
        <f>'3a. % by Portfolio'!AB78</f>
        <v>0.91666666666666674</v>
      </c>
    </row>
    <row r="72" spans="14:56">
      <c r="AY72" s="79" t="s">
        <v>56</v>
      </c>
      <c r="AZ72" s="80">
        <f>'3a. % by Portfolio'!G80</f>
        <v>0.1111111111111111</v>
      </c>
      <c r="BA72" s="80">
        <f>'3a. % by Portfolio'!N80</f>
        <v>0</v>
      </c>
      <c r="BB72" s="80">
        <f>'3a. % by Portfolio'!U80</f>
        <v>4.3478260869565216E-2</v>
      </c>
      <c r="BC72" s="80">
        <f>'3a. % by Portfolio'!AB80</f>
        <v>4.1666666666666664E-2</v>
      </c>
    </row>
    <row r="73" spans="14:56">
      <c r="AY73" s="79" t="s">
        <v>57</v>
      </c>
      <c r="AZ73" s="80">
        <f>'3a. % by Portfolio'!G83</f>
        <v>0</v>
      </c>
      <c r="BA73" s="80">
        <f>'3a. % by Portfolio'!N83</f>
        <v>9.0909090909090912E-2</v>
      </c>
      <c r="BB73" s="80">
        <f>'3a. % by Portfolio'!U83</f>
        <v>8.6956521739130432E-2</v>
      </c>
      <c r="BC73" s="80">
        <f>'3a. % by Portfolio'!AB83</f>
        <v>4.1666666666666664E-2</v>
      </c>
    </row>
    <row r="84" spans="14:56">
      <c r="N84" s="70"/>
      <c r="W84" s="70"/>
      <c r="AF84" s="70"/>
      <c r="AO84" s="70"/>
    </row>
    <row r="85" spans="14:56">
      <c r="AY85" s="75" t="s">
        <v>109</v>
      </c>
      <c r="AZ85" s="84"/>
      <c r="BA85" s="84"/>
      <c r="BB85" s="84"/>
      <c r="BC85" s="84"/>
    </row>
    <row r="86" spans="14:56">
      <c r="AY86" s="85"/>
      <c r="AZ86" s="78" t="s">
        <v>13</v>
      </c>
      <c r="BA86" s="78" t="s">
        <v>14</v>
      </c>
      <c r="BB86" s="78" t="s">
        <v>15</v>
      </c>
      <c r="BC86" s="78" t="s">
        <v>12</v>
      </c>
    </row>
    <row r="87" spans="14:56">
      <c r="AY87" s="79" t="s">
        <v>55</v>
      </c>
      <c r="AZ87" s="80">
        <f>'3a. % by Portfolio'!G96</f>
        <v>1</v>
      </c>
      <c r="BA87" s="80">
        <f>'3a. % by Portfolio'!N96</f>
        <v>0.95</v>
      </c>
      <c r="BB87" s="80">
        <f>'3a. % by Portfolio'!U96</f>
        <v>0.95</v>
      </c>
      <c r="BC87" s="80">
        <f>'3a. % by Portfolio'!AB96</f>
        <v>0.95238095238095233</v>
      </c>
    </row>
    <row r="88" spans="14:56">
      <c r="AY88" s="79" t="s">
        <v>56</v>
      </c>
      <c r="AZ88" s="80">
        <f>'3a. % by Portfolio'!G98</f>
        <v>0</v>
      </c>
      <c r="BA88" s="80">
        <f>'3a. % by Portfolio'!N98</f>
        <v>0</v>
      </c>
      <c r="BB88" s="80">
        <f>'3a. % by Portfolio'!U98</f>
        <v>0</v>
      </c>
      <c r="BC88" s="80">
        <f>'3a. % by Portfolio'!AB98</f>
        <v>0</v>
      </c>
    </row>
    <row r="89" spans="14:56">
      <c r="AY89" s="79" t="s">
        <v>57</v>
      </c>
      <c r="AZ89" s="80">
        <f>'3a. % by Portfolio'!G101</f>
        <v>0</v>
      </c>
      <c r="BA89" s="80">
        <f>'3a. % by Portfolio'!N101</f>
        <v>0.05</v>
      </c>
      <c r="BB89" s="80">
        <f>'3a. % by Portfolio'!U101</f>
        <v>0.05</v>
      </c>
      <c r="BC89" s="80">
        <f>'3a. % by Portfolio'!AB101</f>
        <v>4.7619047619047616E-2</v>
      </c>
    </row>
    <row r="95" spans="14:56">
      <c r="AY95" s="86"/>
      <c r="AZ95" s="86"/>
      <c r="BA95" s="86"/>
      <c r="BB95" s="86"/>
      <c r="BC95" s="86"/>
      <c r="BD95" s="87"/>
    </row>
    <row r="96" spans="14:56">
      <c r="AY96" s="86"/>
      <c r="AZ96" s="86"/>
      <c r="BA96" s="86"/>
      <c r="BB96" s="86"/>
      <c r="BC96" s="86"/>
      <c r="BD96" s="87"/>
    </row>
    <row r="97" spans="14:56">
      <c r="AY97" s="86"/>
      <c r="AZ97" s="86"/>
      <c r="BA97" s="86"/>
      <c r="BB97" s="86"/>
      <c r="BC97" s="86"/>
      <c r="BD97" s="87"/>
    </row>
    <row r="98" spans="14:56">
      <c r="AY98" s="86"/>
      <c r="AZ98" s="86"/>
      <c r="BA98" s="86"/>
      <c r="BB98" s="86"/>
      <c r="BC98" s="86"/>
      <c r="BD98" s="87"/>
    </row>
    <row r="99" spans="14:56">
      <c r="AY99" s="86"/>
      <c r="AZ99" s="86"/>
      <c r="BA99" s="86"/>
      <c r="BB99" s="86"/>
      <c r="BC99" s="86"/>
      <c r="BD99" s="87"/>
    </row>
    <row r="100" spans="14:56">
      <c r="N100" s="70"/>
      <c r="W100" s="70"/>
      <c r="AF100" s="70"/>
      <c r="AO100" s="70"/>
      <c r="AY100" s="86"/>
      <c r="AZ100" s="86"/>
      <c r="BA100" s="86"/>
      <c r="BB100" s="86"/>
      <c r="BC100" s="86"/>
      <c r="BD100" s="87"/>
    </row>
    <row r="101" spans="14:56">
      <c r="AY101" s="88"/>
      <c r="AZ101" s="85"/>
      <c r="BA101" s="85"/>
      <c r="BB101" s="85"/>
      <c r="BC101" s="85"/>
      <c r="BD101" s="87"/>
    </row>
    <row r="102" spans="14:56">
      <c r="AY102" s="85"/>
      <c r="AZ102" s="81"/>
      <c r="BA102" s="81"/>
      <c r="BB102" s="81"/>
      <c r="BC102" s="81"/>
      <c r="BD102" s="87"/>
    </row>
    <row r="103" spans="14:56">
      <c r="AY103" s="85"/>
      <c r="AZ103" s="83"/>
      <c r="BA103" s="83"/>
      <c r="BB103" s="83"/>
      <c r="BC103" s="83"/>
      <c r="BD103" s="87"/>
    </row>
    <row r="104" spans="14:56">
      <c r="AY104" s="85"/>
      <c r="AZ104" s="83"/>
      <c r="BA104" s="83"/>
      <c r="BB104" s="83"/>
      <c r="BC104" s="83"/>
      <c r="BD104" s="87"/>
    </row>
    <row r="105" spans="14:56">
      <c r="AY105" s="85"/>
      <c r="AZ105" s="83"/>
      <c r="BA105" s="83"/>
      <c r="BB105" s="83"/>
      <c r="BC105" s="83"/>
      <c r="BD105" s="87"/>
    </row>
    <row r="106" spans="14:56">
      <c r="AY106" s="86"/>
      <c r="AZ106" s="86"/>
      <c r="BA106" s="86"/>
      <c r="BB106" s="86"/>
      <c r="BC106" s="86"/>
      <c r="BD106" s="87"/>
    </row>
    <row r="116" spans="14:41">
      <c r="N116" s="70" t="s">
        <v>50</v>
      </c>
      <c r="W116" s="70" t="s">
        <v>50</v>
      </c>
      <c r="AF116" s="70" t="s">
        <v>50</v>
      </c>
      <c r="AO116" s="70" t="s">
        <v>50</v>
      </c>
    </row>
  </sheetData>
  <sheetProtection algorithmName="SHA-512" hashValue="GWcRMoY39yh15LXY2DuC0qIPyo9do9brC4efnyDbm5F3pEhQ0y2OmJSttxocfpFfdCbABlrGGFA+DwOvOTrsZg==" saltValue="Hro1Mxce4Lp8XtirqwvIlw==" spinCount="100000" sheet="1" objects="1" scenarios="1"/>
  <mergeCells count="1">
    <mergeCell ref="K1:X3"/>
  </mergeCells>
  <hyperlinks>
    <hyperlink ref="N116" location="INDEX!A1" display="Back to index"/>
    <hyperlink ref="W116" location="INDEX!A1" display="Back to index"/>
    <hyperlink ref="AF116" location="INDEX!A1" display="Back to index"/>
    <hyperlink ref="AO116" location="INDEX!A1" display="Back to index"/>
  </hyperlinks>
  <pageMargins left="0.25" right="0.25" top="0.75" bottom="0.75" header="0.3" footer="0.3"/>
  <pageSetup paperSize="8" scale="51" orientation="landscape" r:id="rId1"/>
  <colBreaks count="1" manualBreakCount="1">
    <brk id="46" max="11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'2a. % By Priority'!Print_Area</vt:lpstr>
      <vt:lpstr>'2b. Charts by Priority'!Print_Area</vt:lpstr>
      <vt:lpstr>'3a. % by Portfolio'!Print_Area</vt:lpstr>
      <vt:lpstr>'3b. Charts by Portfolio'!Print_Area</vt:lpstr>
      <vt:lpstr>'Q1 Summary'!Print_Area</vt:lpstr>
      <vt:lpstr>'Q2 Summary'!Print_Area</vt:lpstr>
      <vt:lpstr>'Q3 Summary'!Print_Area</vt:lpstr>
      <vt:lpstr>'Q4 Summary'!Print_Area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James Abbott</cp:lastModifiedBy>
  <cp:lastPrinted>2023-07-05T18:47:41Z</cp:lastPrinted>
  <dcterms:created xsi:type="dcterms:W3CDTF">2019-02-13T13:28:16Z</dcterms:created>
  <dcterms:modified xsi:type="dcterms:W3CDTF">2024-05-17T14:38:22Z</dcterms:modified>
</cp:coreProperties>
</file>